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ud\Desktop\"/>
    </mc:Choice>
  </mc:AlternateContent>
  <xr:revisionPtr revIDLastSave="0" documentId="13_ncr:1_{43704E42-9A1B-4190-9E3F-5BC47EB8F9BF}" xr6:coauthVersionLast="45" xr6:coauthVersionMax="45" xr10:uidLastSave="{00000000-0000-0000-0000-000000000000}"/>
  <bookViews>
    <workbookView xWindow="-108" yWindow="-108" windowWidth="23256" windowHeight="12576" activeTab="3" xr2:uid="{BA61A8CB-94C5-42F5-9643-1110123B02A4}"/>
  </bookViews>
  <sheets>
    <sheet name="FRONT" sheetId="4" r:id="rId1"/>
    <sheet name="CAL" sheetId="1" r:id="rId2"/>
    <sheet name="WASTE_DATA" sheetId="3" r:id="rId3"/>
    <sheet name="Product_AT" sheetId="5" r:id="rId4"/>
    <sheet name="Product_AN" sheetId="6" r:id="rId5"/>
    <sheet name="Product_SSS" sheetId="11" r:id="rId6"/>
    <sheet name="Product_SSFA" sheetId="13" r:id="rId7"/>
    <sheet name="Product_SSF" sheetId="12" r:id="rId8"/>
    <sheet name="Product_GT" sheetId="7" r:id="rId9"/>
    <sheet name="Product_AP-AB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6" l="1"/>
  <c r="G30" i="5"/>
  <c r="G29" i="5"/>
  <c r="G28" i="5"/>
  <c r="G27" i="5"/>
  <c r="G26" i="5"/>
  <c r="G25" i="5"/>
  <c r="G28" i="6"/>
  <c r="G27" i="6"/>
  <c r="G26" i="6"/>
  <c r="G25" i="6"/>
  <c r="G24" i="6"/>
  <c r="G23" i="6"/>
  <c r="G23" i="5"/>
  <c r="G22" i="5"/>
  <c r="K26" i="5"/>
  <c r="K25" i="5"/>
  <c r="H21" i="4" l="1"/>
  <c r="F21" i="4"/>
  <c r="F20" i="4"/>
  <c r="F19" i="4"/>
  <c r="E20" i="4"/>
  <c r="E21" i="4"/>
  <c r="E19" i="4"/>
  <c r="F3" i="1"/>
  <c r="G3" i="4"/>
  <c r="F2" i="1" l="1"/>
  <c r="I21" i="6" l="1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G24" i="5"/>
  <c r="I11" i="5"/>
  <c r="I10" i="5"/>
  <c r="I9" i="5"/>
  <c r="I8" i="5"/>
  <c r="I7" i="5"/>
  <c r="I6" i="5"/>
  <c r="I5" i="5"/>
  <c r="E17" i="4" l="1"/>
  <c r="K22" i="5" l="1"/>
  <c r="K23" i="5"/>
  <c r="K24" i="5"/>
  <c r="K27" i="5"/>
  <c r="K28" i="5"/>
  <c r="K29" i="5"/>
  <c r="K30" i="5"/>
  <c r="K6" i="5"/>
  <c r="K7" i="5"/>
  <c r="K8" i="5"/>
  <c r="K9" i="5"/>
  <c r="K10" i="5"/>
  <c r="K11" i="5"/>
  <c r="K5" i="5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19" i="13"/>
  <c r="X5" i="13" l="1"/>
  <c r="X6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4" i="13"/>
  <c r="D2" i="13"/>
  <c r="D2" i="12"/>
  <c r="D2" i="11"/>
  <c r="C23" i="5" l="1"/>
  <c r="C22" i="5"/>
  <c r="E27" i="4" l="1"/>
  <c r="B21" i="5" l="1"/>
  <c r="B20" i="5"/>
  <c r="B19" i="5"/>
  <c r="B18" i="5"/>
  <c r="B17" i="5"/>
  <c r="B16" i="5"/>
  <c r="B15" i="5"/>
  <c r="B14" i="5"/>
  <c r="B13" i="5"/>
  <c r="B12" i="5"/>
  <c r="I16" i="5" l="1"/>
  <c r="K16" i="5"/>
  <c r="I14" i="5"/>
  <c r="K14" i="5"/>
  <c r="I18" i="5"/>
  <c r="K18" i="5"/>
  <c r="I21" i="5"/>
  <c r="K21" i="5"/>
  <c r="I15" i="5"/>
  <c r="K15" i="5"/>
  <c r="I17" i="5"/>
  <c r="K17" i="5"/>
  <c r="I19" i="5"/>
  <c r="K19" i="5"/>
  <c r="I13" i="5"/>
  <c r="K13" i="5"/>
  <c r="I12" i="5"/>
  <c r="K12" i="5"/>
  <c r="I20" i="5"/>
  <c r="K20" i="5"/>
  <c r="F5" i="1"/>
  <c r="F17" i="1" s="1"/>
  <c r="F10" i="1"/>
  <c r="F11" i="1" l="1"/>
  <c r="F12" i="1" s="1"/>
  <c r="H16" i="4"/>
  <c r="D19" i="7" l="1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18" i="7"/>
  <c r="B57" i="7"/>
  <c r="B58" i="7"/>
  <c r="B59" i="7"/>
  <c r="B53" i="7"/>
  <c r="B54" i="7"/>
  <c r="B55" i="7"/>
  <c r="B56" i="7"/>
  <c r="B46" i="7"/>
  <c r="B47" i="7"/>
  <c r="B48" i="7"/>
  <c r="B49" i="7"/>
  <c r="B50" i="7"/>
  <c r="B51" i="7"/>
  <c r="B52" i="7"/>
  <c r="B39" i="7"/>
  <c r="B40" i="7"/>
  <c r="B41" i="7"/>
  <c r="B42" i="7"/>
  <c r="B43" i="7"/>
  <c r="B44" i="7"/>
  <c r="B45" i="7"/>
  <c r="B31" i="7"/>
  <c r="B32" i="7"/>
  <c r="B33" i="7"/>
  <c r="B34" i="7"/>
  <c r="B35" i="7"/>
  <c r="B36" i="7"/>
  <c r="B37" i="7"/>
  <c r="B38" i="7"/>
  <c r="B23" i="7"/>
  <c r="B24" i="7"/>
  <c r="B25" i="7"/>
  <c r="B26" i="7"/>
  <c r="B27" i="7"/>
  <c r="B28" i="7"/>
  <c r="B29" i="7"/>
  <c r="B30" i="7"/>
  <c r="B22" i="7"/>
  <c r="B21" i="7"/>
  <c r="B20" i="7"/>
  <c r="B19" i="7"/>
  <c r="B18" i="7"/>
  <c r="B17" i="7" l="1"/>
  <c r="B10" i="7"/>
  <c r="B6" i="7"/>
  <c r="B7" i="7"/>
  <c r="B8" i="7"/>
  <c r="B9" i="7"/>
  <c r="B11" i="7"/>
  <c r="B12" i="7"/>
  <c r="B13" i="7"/>
  <c r="B14" i="7"/>
  <c r="B15" i="7"/>
  <c r="B16" i="7"/>
  <c r="B5" i="7"/>
  <c r="F31" i="1" l="1"/>
  <c r="G2" i="1"/>
  <c r="D2" i="5"/>
  <c r="H8" i="1" l="1"/>
  <c r="F8" i="1"/>
  <c r="F4" i="1"/>
  <c r="F30" i="1" l="1"/>
  <c r="F14" i="1"/>
  <c r="D57" i="1" s="1"/>
  <c r="I25" i="4" s="1"/>
  <c r="F32" i="1"/>
  <c r="H3" i="4"/>
  <c r="F18" i="1" l="1"/>
  <c r="F20" i="1" l="1"/>
  <c r="F21" i="1" s="1"/>
  <c r="F22" i="1" s="1"/>
  <c r="F23" i="1" s="1"/>
  <c r="F24" i="1"/>
  <c r="G11" i="4"/>
  <c r="F39" i="1" l="1"/>
  <c r="F28" i="1"/>
  <c r="F54" i="1" s="1"/>
  <c r="F43" i="1"/>
  <c r="F42" i="1"/>
  <c r="F46" i="1" s="1"/>
  <c r="F41" i="1"/>
  <c r="G16" i="4" s="1"/>
  <c r="F44" i="1"/>
  <c r="F40" i="1"/>
  <c r="G15" i="4" s="1"/>
  <c r="E13" i="4"/>
  <c r="G12" i="4"/>
  <c r="G13" i="4"/>
  <c r="G31" i="1"/>
  <c r="H13" i="4" s="1"/>
  <c r="F13" i="4"/>
  <c r="F12" i="4"/>
  <c r="E12" i="4"/>
  <c r="F56" i="1" l="1"/>
  <c r="G26" i="4" s="1"/>
  <c r="F55" i="1"/>
  <c r="G25" i="4" s="1"/>
  <c r="F47" i="1"/>
  <c r="H47" i="1" s="1"/>
  <c r="E18" i="4" s="1"/>
  <c r="G56" i="1" l="1"/>
  <c r="H26" i="4" s="1"/>
  <c r="F49" i="1"/>
  <c r="G20" i="4" s="1"/>
  <c r="F48" i="1"/>
  <c r="G19" i="4" s="1"/>
  <c r="G49" i="1" l="1"/>
  <c r="H20" i="4" s="1"/>
  <c r="F50" i="1"/>
  <c r="G21" i="4" s="1"/>
  <c r="G21" i="9"/>
  <c r="G25" i="9"/>
  <c r="G20" i="9"/>
  <c r="G23" i="9"/>
  <c r="G18" i="9"/>
  <c r="G19" i="9"/>
  <c r="G17" i="9"/>
  <c r="G16" i="9"/>
  <c r="G22" i="9"/>
  <c r="G15" i="9"/>
  <c r="G24" i="9"/>
  <c r="G26" i="9"/>
</calcChain>
</file>

<file path=xl/sharedStrings.xml><?xml version="1.0" encoding="utf-8"?>
<sst xmlns="http://schemas.openxmlformats.org/spreadsheetml/2006/main" count="626" uniqueCount="245">
  <si>
    <t>BOD</t>
  </si>
  <si>
    <t>คน</t>
  </si>
  <si>
    <t>เตียง</t>
  </si>
  <si>
    <t>ห้อง</t>
  </si>
  <si>
    <t>ที่นั่ง</t>
  </si>
  <si>
    <t>รถ</t>
  </si>
  <si>
    <t>หน่วยต่อวัน</t>
  </si>
  <si>
    <t>ประเภทอาคาร</t>
  </si>
  <si>
    <t>ปริมาณน้ำเสีย</t>
  </si>
  <si>
    <t>=</t>
  </si>
  <si>
    <t>จำนวน</t>
  </si>
  <si>
    <t>ถังดักไขมัน</t>
  </si>
  <si>
    <t>BOD ขาออก = 20 mg./l.</t>
  </si>
  <si>
    <t xml:space="preserve"> หรือ</t>
  </si>
  <si>
    <t>ถังเติมอากาศ</t>
  </si>
  <si>
    <t>BOD ขาออก = 60 mg./l.</t>
  </si>
  <si>
    <t>Q cmd</t>
  </si>
  <si>
    <t>MODEL</t>
  </si>
  <si>
    <t>Price</t>
  </si>
  <si>
    <r>
      <t>T.Vol.(m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</si>
  <si>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ST.Vol.(m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</si>
  <si>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FT.Vol.(m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</si>
  <si>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MD.Vol.(m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</si>
  <si>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FLOW</t>
  </si>
  <si>
    <t>7 - 26.5</t>
  </si>
  <si>
    <t xml:space="preserve">*ระบบเติมอากาศ น้ำเสียที่ออกจากระบบจะมีคุณภาพที่ดีกว่า และพื้นที่ใช้งานน้อยกว่าระบบไร้อากาศ แต่ต้องใช้ไฟฟ้า </t>
  </si>
  <si>
    <t>**ระบบไร้อากาศ น้ำเสียที่ออกจากระบบจะมีคุณภาพที่ด้อยกว่าระบบเติมอากาศ แต่ประหยัด และไม่ต้องดูแลรักษา</t>
  </si>
  <si>
    <t>SGT-S175</t>
  </si>
  <si>
    <t>SGT-S120</t>
  </si>
  <si>
    <t>SGT-S80</t>
  </si>
  <si>
    <t>SGT-S60</t>
  </si>
  <si>
    <t>SGT-S30</t>
  </si>
  <si>
    <t>แนะนำถังบำบัดน้ำเสีย</t>
  </si>
  <si>
    <t>หรือ</t>
  </si>
  <si>
    <t>ราคา</t>
  </si>
  <si>
    <t>รุ่น</t>
  </si>
  <si>
    <t>ถังบำบัดแบบเติมอากาศ รุ่น</t>
  </si>
  <si>
    <t>Vol.(Liters)</t>
  </si>
  <si>
    <t>SGT-1000</t>
  </si>
  <si>
    <t>SGT-2000</t>
  </si>
  <si>
    <t>SGT-3000</t>
  </si>
  <si>
    <t>SGT-4000</t>
  </si>
  <si>
    <t>SGT-5000</t>
  </si>
  <si>
    <t>SGT-6000</t>
  </si>
  <si>
    <t>SGT-7000</t>
  </si>
  <si>
    <t>SGT-8000</t>
  </si>
  <si>
    <t>L(m.)</t>
  </si>
  <si>
    <t>ลบ.ม. ต่อวัน</t>
  </si>
  <si>
    <t>ถังบำบัดแบบไร้อากาศ รุ่น</t>
  </si>
  <si>
    <t>โรงอาหาร(ตารางเมตร)</t>
  </si>
  <si>
    <t>ตารางเมตร</t>
  </si>
  <si>
    <t xml:space="preserve">คน </t>
  </si>
  <si>
    <t>AP(cmm)</t>
  </si>
  <si>
    <t>BOD Loading</t>
  </si>
  <si>
    <t>kg/d</t>
  </si>
  <si>
    <t>Volumatic Loading(0.55-0.65)</t>
  </si>
  <si>
    <t>Volume Req.</t>
  </si>
  <si>
    <t>kg/d-cum</t>
  </si>
  <si>
    <t>HRT</t>
  </si>
  <si>
    <t>hr.</t>
  </si>
  <si>
    <t>cu.m.</t>
  </si>
  <si>
    <t>AIR Req.</t>
  </si>
  <si>
    <t>AP-AB</t>
  </si>
  <si>
    <t>Air Pump</t>
  </si>
  <si>
    <t>ยี่ห้อ</t>
  </si>
  <si>
    <t>Secoh</t>
  </si>
  <si>
    <t>Air Flow</t>
  </si>
  <si>
    <t>Model</t>
  </si>
  <si>
    <t>SLL-40</t>
  </si>
  <si>
    <t>SLL-50</t>
  </si>
  <si>
    <t>EL-60</t>
  </si>
  <si>
    <t>EL-80</t>
  </si>
  <si>
    <t>EL-100</t>
  </si>
  <si>
    <t>EL-120W</t>
  </si>
  <si>
    <t>EL-150W</t>
  </si>
  <si>
    <t>EL-200W</t>
  </si>
  <si>
    <t>Air Blower</t>
  </si>
  <si>
    <t>Taiko</t>
  </si>
  <si>
    <t>cm.m.</t>
  </si>
  <si>
    <t>Air flow</t>
  </si>
  <si>
    <t>cmm</t>
  </si>
  <si>
    <t>AP</t>
  </si>
  <si>
    <t>AP Qty.</t>
  </si>
  <si>
    <t>SSR-40T</t>
  </si>
  <si>
    <t>SSR-50</t>
  </si>
  <si>
    <t>SSR-60</t>
  </si>
  <si>
    <t>Air Pump/Blower Model</t>
  </si>
  <si>
    <t>ตัว</t>
  </si>
  <si>
    <t>Additonal Flow Req.</t>
  </si>
  <si>
    <t>kW</t>
  </si>
  <si>
    <t>*ราคาขาย ห้ามลด</t>
  </si>
  <si>
    <t>SSR-80</t>
  </si>
  <si>
    <t>เพิ่มราคา</t>
  </si>
  <si>
    <t>บาท</t>
  </si>
  <si>
    <t>ลูกค้ากำหนด BOD</t>
  </si>
  <si>
    <t>ถ้าลูกค้ากำหนด BOD</t>
  </si>
  <si>
    <t>mg/l</t>
  </si>
  <si>
    <t>ค่า BOD แนะนำ</t>
  </si>
  <si>
    <t>หมายเหตุ</t>
  </si>
  <si>
    <t>เลือกใช้ค่า BOD</t>
  </si>
  <si>
    <t>&lt;&lt;&lt;&lt;ระบุ หรือไม่ก็ได้</t>
  </si>
  <si>
    <t>การุณาติดต่อเพิ่มสอบถามข้อมูลเพิ่มเติม</t>
  </si>
  <si>
    <t>PS-1250A</t>
  </si>
  <si>
    <t>PS-1600A</t>
  </si>
  <si>
    <t>PS-1900A</t>
  </si>
  <si>
    <t>PS-2340A</t>
  </si>
  <si>
    <t>PS-3440A</t>
  </si>
  <si>
    <t>PS-4450</t>
  </si>
  <si>
    <t>PS-5460A</t>
  </si>
  <si>
    <t>PS-4450A</t>
  </si>
  <si>
    <t>PS-6470A</t>
  </si>
  <si>
    <t>PS-7500A</t>
  </si>
  <si>
    <t>PS-8500A</t>
  </si>
  <si>
    <t>PS-9500A</t>
  </si>
  <si>
    <t>PS-10500A</t>
  </si>
  <si>
    <t>PS-11500A</t>
  </si>
  <si>
    <t>PS-12500A</t>
  </si>
  <si>
    <t>PS-13500</t>
  </si>
  <si>
    <t>PS-14500</t>
  </si>
  <si>
    <t>PS-13500A</t>
  </si>
  <si>
    <t>PS-14500A</t>
  </si>
  <si>
    <t>PS-15500A</t>
  </si>
  <si>
    <t>PS-1250</t>
  </si>
  <si>
    <t>PS-1600</t>
  </si>
  <si>
    <t>PS-1900</t>
  </si>
  <si>
    <t>PS-2340</t>
  </si>
  <si>
    <t>PS-3440</t>
  </si>
  <si>
    <t>PS-5460</t>
  </si>
  <si>
    <t>PS-6470</t>
  </si>
  <si>
    <t>PS-7500</t>
  </si>
  <si>
    <t>PS-8500</t>
  </si>
  <si>
    <t>PS-9500</t>
  </si>
  <si>
    <t>PS-10500</t>
  </si>
  <si>
    <t>PS-11500</t>
  </si>
  <si>
    <t>PS-12500</t>
  </si>
  <si>
    <t>PS-15500</t>
  </si>
  <si>
    <t>ปริมาณน้ำเสีย(ลิตรต่อคนต่อวัน)</t>
  </si>
  <si>
    <t>คัน</t>
  </si>
  <si>
    <t>ร้านอาหาร</t>
  </si>
  <si>
    <t>เลือกถังบำบัดที่มีส่วนบำบัด</t>
  </si>
  <si>
    <t>ลบ.ม.</t>
  </si>
  <si>
    <t>PSA= 14-10hr</t>
  </si>
  <si>
    <t>PS= 24-12hr</t>
  </si>
  <si>
    <t>Select Filtation Volume</t>
  </si>
  <si>
    <t>PSAZ= 14-10hr</t>
  </si>
  <si>
    <t>L(m.),</t>
  </si>
  <si>
    <r>
      <t xml:space="preserve"> </t>
    </r>
    <r>
      <rPr>
        <sz val="11"/>
        <color theme="1"/>
        <rFont val="Calibri"/>
        <family val="2"/>
      </rPr>
      <t>Ø</t>
    </r>
  </si>
  <si>
    <t>PSZ= 24-12hr</t>
  </si>
  <si>
    <t>Select HRT For Filtation Chamber</t>
  </si>
  <si>
    <t>SSS-318</t>
  </si>
  <si>
    <t>SSS-536</t>
  </si>
  <si>
    <t>SSS-752</t>
  </si>
  <si>
    <t>SSS-7133</t>
  </si>
  <si>
    <t>SSS-7149</t>
  </si>
  <si>
    <t>SSS-7166</t>
  </si>
  <si>
    <t>SSS-7200</t>
  </si>
  <si>
    <t>SSS-7216</t>
  </si>
  <si>
    <t>SSS-7232</t>
  </si>
  <si>
    <t>SSS-7248</t>
  </si>
  <si>
    <t>SSS-7182</t>
  </si>
  <si>
    <t>SSS-7117</t>
  </si>
  <si>
    <t>SSS-7101</t>
  </si>
  <si>
    <t>SSS-784</t>
  </si>
  <si>
    <t>SSS-768</t>
  </si>
  <si>
    <t>SSF-536</t>
  </si>
  <si>
    <t>SSF-752</t>
  </si>
  <si>
    <t>SSF-768</t>
  </si>
  <si>
    <t>SSF-784</t>
  </si>
  <si>
    <t>SSF-7101</t>
  </si>
  <si>
    <t>SSF-7117</t>
  </si>
  <si>
    <t>SSF-7133</t>
  </si>
  <si>
    <t>SSF-7149</t>
  </si>
  <si>
    <t>SSF-7166</t>
  </si>
  <si>
    <t>SSF-7182</t>
  </si>
  <si>
    <t>SSF-7200</t>
  </si>
  <si>
    <t>SSF-7216</t>
  </si>
  <si>
    <t>SSF-7232</t>
  </si>
  <si>
    <t>SSF-318</t>
  </si>
  <si>
    <t>SSF-7248</t>
  </si>
  <si>
    <t>SSFA</t>
  </si>
  <si>
    <t>SSFA-337</t>
  </si>
  <si>
    <t>SSFA-567</t>
  </si>
  <si>
    <t>SSFA-798</t>
  </si>
  <si>
    <t>SSFA-7128</t>
  </si>
  <si>
    <t>SSFA-7159</t>
  </si>
  <si>
    <t>SSFA-7189</t>
  </si>
  <si>
    <t>SSFA-7219</t>
  </si>
  <si>
    <t>SSFA-7250</t>
  </si>
  <si>
    <t>SSFA-7280</t>
  </si>
  <si>
    <t>SSFA-7312</t>
  </si>
  <si>
    <t>SSFA-7343</t>
  </si>
  <si>
    <t>SSFA-7375</t>
  </si>
  <si>
    <t>SSFA-7406</t>
  </si>
  <si>
    <t>SSFA-7436</t>
  </si>
  <si>
    <t>SSFA-7466</t>
  </si>
  <si>
    <t>SSR-50T</t>
  </si>
  <si>
    <t>PS= 12-24hr</t>
  </si>
  <si>
    <t>PSZ= 12-24hr</t>
  </si>
  <si>
    <t>***เป็นข้อมูลที่ได้จากการประเมินจากข้อมูลเบื้องต้นเท่านั้น</t>
  </si>
  <si>
    <t>เรือนจำ(น้ำเสียรวม)</t>
  </si>
  <si>
    <t>โรงแรม(น้ำเสียรวม)</t>
  </si>
  <si>
    <t>โรงงาน(น้ำเสียจากห้องน้ำ)</t>
  </si>
  <si>
    <t>โรงเรียน(น้ำเสียจากห้องน้ำ)</t>
  </si>
  <si>
    <t>โรงพยาบาล(น้ำเสียรวม)</t>
  </si>
  <si>
    <t>โรงภาพยนต์(น้ำเสียจากห้องน้ำ)</t>
  </si>
  <si>
    <t>โรงอาหาร(ต่อคน)</t>
  </si>
  <si>
    <t>ตลาดสด(น้ำเสียครัว)</t>
  </si>
  <si>
    <t>บ้านพักอาศัย(น้ำเสียรวม)</t>
  </si>
  <si>
    <t>ภัตตาคาร(ต่อคน)</t>
  </si>
  <si>
    <t>ภัตตาคาร(ต่อตารางเมตร)</t>
  </si>
  <si>
    <t>ร้านกาแฟ(น้ำเสียครัว)</t>
  </si>
  <si>
    <t>ร้านตัดผม(น้ำเสียรวม)</t>
  </si>
  <si>
    <t>ล้างรถ(น้ำเสียรวม)</t>
  </si>
  <si>
    <t>วัด(น้ำเสียรวม)</t>
  </si>
  <si>
    <t>ศูนย์การค้า(น้ำเสียรวม)</t>
  </si>
  <si>
    <t>สโมสร(น้ำเสียรวม)</t>
  </si>
  <si>
    <t>สถานีบริการน้ำมัน(น้ำเสียรวม)</t>
  </si>
  <si>
    <t>สนามบิน(น้ำเสียรวม)</t>
  </si>
  <si>
    <t>สวน(น้ำเสียรวม)</t>
  </si>
  <si>
    <t>ห้องปฏิบัติการ(น้ำเสียจากห้องน้ำ)</t>
  </si>
  <si>
    <t>สำนักงาน(คน)(น้ำเสียจากห้องน้ำ)</t>
  </si>
  <si>
    <t>ร้านกาแฟ(น้ำเสียจากห้องน้ำ)</t>
  </si>
  <si>
    <t>หอประชุม(น้ำเสียจากห้องน้ำ)</t>
  </si>
  <si>
    <t>หอพัก(น้ำเสียรวม)</t>
  </si>
  <si>
    <t>ห้าง(น้ำเสียจากห้องน้ำ)</t>
  </si>
  <si>
    <t>สำนักงาน(ตารางเมตร)(น้ำเสียจากห้องน้ำ)</t>
  </si>
  <si>
    <t>&lt;&lt;&lt;&lt;กรอกข้อมูล เพียง 2 ช่องนี้</t>
  </si>
  <si>
    <t>*เป็นค่าBOD หลังผ่าน GT และ ST</t>
  </si>
  <si>
    <t>*เป็นค่าBOD หลังผ่าน ST</t>
  </si>
  <si>
    <t>ถังไร้อากาศ</t>
  </si>
  <si>
    <t>of Aeration</t>
  </si>
  <si>
    <t>PS-2022Z</t>
  </si>
  <si>
    <t>PS-2018Z</t>
  </si>
  <si>
    <t>PS-2027Z</t>
  </si>
  <si>
    <t>PS-2530Z</t>
  </si>
  <si>
    <t>PS-2537Z</t>
  </si>
  <si>
    <t>PS-2545Z</t>
  </si>
  <si>
    <t>PS-2552Z</t>
  </si>
  <si>
    <t>PS-2528AZ</t>
  </si>
  <si>
    <t>PS-2531AZ</t>
  </si>
  <si>
    <t>PS-2536AZ</t>
  </si>
  <si>
    <t>PS-2541AZ</t>
  </si>
  <si>
    <t>PS-2547AZ</t>
  </si>
  <si>
    <t>PS-2551AZ</t>
  </si>
  <si>
    <t>PS-2554AZ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</si>
</sst>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.000"/>
    <numFmt numFmtId="167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theme="5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43" fontId="0" fillId="0" borderId="0" xfId="0" applyNumberFormat="1"/>
    <xf numFmtId="0" fontId="2" fillId="0" borderId="0" xfId="0" applyFont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5" fontId="0" fillId="4" borderId="9" xfId="1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65" fontId="0" fillId="4" borderId="15" xfId="1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5" fontId="0" fillId="5" borderId="6" xfId="1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65" fontId="0" fillId="5" borderId="9" xfId="1" applyNumberFormat="1" applyFont="1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2" fontId="0" fillId="5" borderId="10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65" fontId="0" fillId="5" borderId="12" xfId="1" applyNumberFormat="1" applyFont="1" applyFill="1" applyBorder="1" applyAlignment="1">
      <alignment horizontal="center" vertical="center"/>
    </xf>
    <xf numFmtId="2" fontId="0" fillId="5" borderId="12" xfId="0" applyNumberFormat="1" applyFill="1" applyBorder="1" applyAlignment="1">
      <alignment horizontal="center" vertical="center"/>
    </xf>
    <xf numFmtId="2" fontId="0" fillId="5" borderId="1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0" fillId="3" borderId="21" xfId="0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5" fillId="0" borderId="0" xfId="0" applyFont="1"/>
    <xf numFmtId="0" fontId="5" fillId="6" borderId="0" xfId="0" applyFont="1" applyFill="1"/>
    <xf numFmtId="0" fontId="0" fillId="7" borderId="6" xfId="0" applyFill="1" applyBorder="1" applyAlignment="1">
      <alignment horizontal="center" vertical="center"/>
    </xf>
    <xf numFmtId="165" fontId="0" fillId="7" borderId="6" xfId="1" applyNumberFormat="1" applyFon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165" fontId="0" fillId="7" borderId="15" xfId="1" applyNumberFormat="1" applyFont="1" applyFill="1" applyBorder="1" applyAlignment="1">
      <alignment horizontal="center" vertical="center"/>
    </xf>
    <xf numFmtId="2" fontId="0" fillId="7" borderId="15" xfId="0" applyNumberFormat="1" applyFill="1" applyBorder="1" applyAlignment="1">
      <alignment horizontal="center" vertical="center"/>
    </xf>
    <xf numFmtId="2" fontId="0" fillId="7" borderId="5" xfId="0" applyNumberFormat="1" applyFill="1" applyBorder="1" applyAlignment="1">
      <alignment horizontal="center" vertical="center"/>
    </xf>
    <xf numFmtId="2" fontId="0" fillId="7" borderId="14" xfId="0" applyNumberFormat="1" applyFill="1" applyBorder="1" applyAlignment="1">
      <alignment horizontal="center" vertical="center"/>
    </xf>
    <xf numFmtId="1" fontId="0" fillId="4" borderId="24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27" xfId="0" applyBorder="1"/>
    <xf numFmtId="164" fontId="0" fillId="0" borderId="1" xfId="1" applyNumberFormat="1" applyFont="1" applyBorder="1"/>
    <xf numFmtId="0" fontId="0" fillId="0" borderId="28" xfId="0" applyBorder="1"/>
    <xf numFmtId="0" fontId="2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right"/>
    </xf>
    <xf numFmtId="0" fontId="7" fillId="8" borderId="23" xfId="0" applyFont="1" applyFill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8" borderId="37" xfId="0" applyFont="1" applyFill="1" applyBorder="1" applyAlignment="1">
      <alignment horizontal="right"/>
    </xf>
    <xf numFmtId="0" fontId="0" fillId="3" borderId="32" xfId="0" applyFill="1" applyBorder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0" fontId="0" fillId="0" borderId="38" xfId="0" applyBorder="1"/>
    <xf numFmtId="2" fontId="0" fillId="7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2" fontId="0" fillId="0" borderId="0" xfId="0" applyNumberFormat="1" applyBorder="1"/>
    <xf numFmtId="2" fontId="0" fillId="0" borderId="1" xfId="0" applyNumberFormat="1" applyBorder="1"/>
    <xf numFmtId="43" fontId="0" fillId="0" borderId="0" xfId="1" applyNumberFormat="1" applyFont="1"/>
    <xf numFmtId="0" fontId="0" fillId="3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43" fontId="0" fillId="0" borderId="1" xfId="0" applyNumberFormat="1" applyBorder="1"/>
    <xf numFmtId="0" fontId="7" fillId="9" borderId="23" xfId="0" applyFont="1" applyFill="1" applyBorder="1" applyAlignment="1">
      <alignment horizontal="right"/>
    </xf>
    <xf numFmtId="2" fontId="0" fillId="7" borderId="26" xfId="0" applyNumberFormat="1" applyFill="1" applyBorder="1" applyAlignment="1">
      <alignment horizontal="center" vertical="center"/>
    </xf>
    <xf numFmtId="2" fontId="0" fillId="0" borderId="30" xfId="0" applyNumberFormat="1" applyBorder="1"/>
    <xf numFmtId="2" fontId="0" fillId="7" borderId="39" xfId="0" applyNumberFormat="1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2" fontId="0" fillId="7" borderId="40" xfId="0" applyNumberFormat="1" applyFill="1" applyBorder="1" applyAlignment="1">
      <alignment horizontal="center" vertical="center"/>
    </xf>
    <xf numFmtId="2" fontId="0" fillId="7" borderId="35" xfId="0" applyNumberFormat="1" applyFill="1" applyBorder="1" applyAlignment="1">
      <alignment horizontal="center" vertical="center"/>
    </xf>
    <xf numFmtId="2" fontId="0" fillId="7" borderId="41" xfId="0" applyNumberFormat="1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165" fontId="0" fillId="7" borderId="42" xfId="1" applyNumberFormat="1" applyFont="1" applyFill="1" applyBorder="1" applyAlignment="1">
      <alignment horizontal="center" vertical="center"/>
    </xf>
    <xf numFmtId="2" fontId="0" fillId="7" borderId="42" xfId="0" applyNumberFormat="1" applyFill="1" applyBorder="1" applyAlignment="1">
      <alignment horizontal="center" vertical="center"/>
    </xf>
    <xf numFmtId="2" fontId="0" fillId="7" borderId="43" xfId="0" applyNumberFormat="1" applyFill="1" applyBorder="1" applyAlignment="1">
      <alignment horizontal="center" vertical="center"/>
    </xf>
    <xf numFmtId="2" fontId="0" fillId="7" borderId="3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0" xfId="0" applyFont="1"/>
    <xf numFmtId="0" fontId="2" fillId="0" borderId="33" xfId="0" applyFont="1" applyBorder="1"/>
    <xf numFmtId="0" fontId="0" fillId="0" borderId="32" xfId="0" applyFill="1" applyBorder="1"/>
    <xf numFmtId="164" fontId="0" fillId="0" borderId="0" xfId="1" applyNumberFormat="1" applyFont="1" applyFill="1" applyBorder="1"/>
    <xf numFmtId="0" fontId="0" fillId="0" borderId="27" xfId="0" applyFill="1" applyBorder="1"/>
    <xf numFmtId="0" fontId="2" fillId="0" borderId="32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33" xfId="0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0" fontId="0" fillId="0" borderId="28" xfId="0" applyFill="1" applyBorder="1"/>
    <xf numFmtId="2" fontId="2" fillId="7" borderId="39" xfId="0" applyNumberFormat="1" applyFont="1" applyFill="1" applyBorder="1" applyAlignment="1">
      <alignment horizontal="center" vertical="center"/>
    </xf>
    <xf numFmtId="2" fontId="2" fillId="7" borderId="0" xfId="0" applyNumberFormat="1" applyFont="1" applyFill="1" applyBorder="1" applyAlignment="1">
      <alignment horizontal="center" vertical="center"/>
    </xf>
    <xf numFmtId="2" fontId="2" fillId="7" borderId="43" xfId="0" applyNumberFormat="1" applyFon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2" fontId="0" fillId="5" borderId="20" xfId="0" applyNumberFormat="1" applyFill="1" applyBorder="1" applyAlignment="1">
      <alignment horizontal="center" vertical="center"/>
    </xf>
    <xf numFmtId="167" fontId="0" fillId="5" borderId="6" xfId="1" applyNumberFormat="1" applyFont="1" applyFill="1" applyBorder="1" applyAlignment="1">
      <alignment horizontal="center" vertical="center"/>
    </xf>
    <xf numFmtId="167" fontId="0" fillId="5" borderId="9" xfId="1" applyNumberFormat="1" applyFont="1" applyFill="1" applyBorder="1" applyAlignment="1">
      <alignment horizontal="center" vertical="center"/>
    </xf>
    <xf numFmtId="167" fontId="0" fillId="5" borderId="20" xfId="1" applyNumberFormat="1" applyFont="1" applyFill="1" applyBorder="1" applyAlignment="1">
      <alignment horizontal="center" vertical="center"/>
    </xf>
    <xf numFmtId="167" fontId="0" fillId="4" borderId="9" xfId="1" applyNumberFormat="1" applyFont="1" applyFill="1" applyBorder="1" applyAlignment="1">
      <alignment horizontal="center" vertical="center"/>
    </xf>
    <xf numFmtId="167" fontId="0" fillId="4" borderId="12" xfId="1" applyNumberFormat="1" applyFont="1" applyFill="1" applyBorder="1" applyAlignment="1">
      <alignment horizontal="center" vertical="center"/>
    </xf>
    <xf numFmtId="165" fontId="2" fillId="5" borderId="6" xfId="1" applyNumberFormat="1" applyFont="1" applyFill="1" applyBorder="1" applyAlignment="1">
      <alignment horizontal="center" vertical="center"/>
    </xf>
    <xf numFmtId="165" fontId="2" fillId="5" borderId="9" xfId="1" applyNumberFormat="1" applyFont="1" applyFill="1" applyBorder="1" applyAlignment="1">
      <alignment horizontal="center" vertical="center"/>
    </xf>
    <xf numFmtId="165" fontId="2" fillId="5" borderId="20" xfId="1" applyNumberFormat="1" applyFont="1" applyFill="1" applyBorder="1" applyAlignment="1">
      <alignment horizontal="center" vertical="center"/>
    </xf>
    <xf numFmtId="165" fontId="2" fillId="4" borderId="9" xfId="1" applyNumberFormat="1" applyFont="1" applyFill="1" applyBorder="1" applyAlignment="1">
      <alignment horizontal="center" vertical="center"/>
    </xf>
    <xf numFmtId="165" fontId="2" fillId="4" borderId="12" xfId="1" applyNumberFormat="1" applyFont="1" applyFill="1" applyBorder="1" applyAlignment="1">
      <alignment horizontal="center" vertical="center"/>
    </xf>
    <xf numFmtId="165" fontId="2" fillId="5" borderId="12" xfId="1" applyNumberFormat="1" applyFont="1" applyFill="1" applyBorder="1" applyAlignment="1">
      <alignment horizontal="center" vertical="center"/>
    </xf>
    <xf numFmtId="165" fontId="2" fillId="4" borderId="6" xfId="1" applyNumberFormat="1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Font="1"/>
    <xf numFmtId="0" fontId="2" fillId="0" borderId="0" xfId="0" applyFont="1" applyFill="1" applyBorder="1"/>
    <xf numFmtId="0" fontId="9" fillId="0" borderId="22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0" fillId="0" borderId="0" xfId="0" applyNumberFormat="1" applyBorder="1"/>
    <xf numFmtId="0" fontId="10" fillId="0" borderId="0" xfId="0" applyFont="1"/>
    <xf numFmtId="9" fontId="0" fillId="0" borderId="0" xfId="2" applyFont="1"/>
    <xf numFmtId="43" fontId="2" fillId="0" borderId="32" xfId="0" applyNumberFormat="1" applyFont="1" applyFill="1" applyBorder="1"/>
    <xf numFmtId="0" fontId="0" fillId="0" borderId="3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4" borderId="15" xfId="1" applyNumberFormat="1" applyFont="1" applyFill="1" applyBorder="1" applyAlignment="1">
      <alignment horizontal="center" vertical="center"/>
    </xf>
    <xf numFmtId="2" fontId="0" fillId="4" borderId="15" xfId="0" applyNumberForma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 vertical="center"/>
    </xf>
    <xf numFmtId="2" fontId="0" fillId="4" borderId="18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165" fontId="2" fillId="4" borderId="18" xfId="1" applyNumberFormat="1" applyFont="1" applyFill="1" applyBorder="1" applyAlignment="1">
      <alignment horizontal="center" vertical="center"/>
    </xf>
    <xf numFmtId="2" fontId="0" fillId="4" borderId="21" xfId="0" applyNumberFormat="1" applyFill="1" applyBorder="1" applyAlignment="1">
      <alignment horizontal="center" vertical="center"/>
    </xf>
    <xf numFmtId="2" fontId="0" fillId="4" borderId="26" xfId="0" applyNumberFormat="1" applyFill="1" applyBorder="1" applyAlignment="1">
      <alignment horizontal="center" vertical="center"/>
    </xf>
    <xf numFmtId="2" fontId="0" fillId="5" borderId="18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numFmt numFmtId="164" formatCode="_(* #,##0_);_(* \(#,##0\);_(* &quot;-&quot;??_);_(@_)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F30D09-B531-44AB-9835-6165F77EA88D}" name="Table1" displayName="Table1" ref="B2:F31" totalsRowShown="0" tableBorderDxfId="5">
  <autoFilter ref="B2:F31" xr:uid="{992399FC-C29F-49D0-B323-7B13DDEBB23E}"/>
  <sortState xmlns:xlrd2="http://schemas.microsoft.com/office/spreadsheetml/2017/richdata2" ref="B3:D31">
    <sortCondition ref="B2:B31"/>
  </sortState>
  <tableColumns count="5">
    <tableColumn id="1" xr3:uid="{C2BDE3AC-FB56-4E89-9BB0-734E874E6925}" name="ประเภทอาคาร" dataDxfId="4"/>
    <tableColumn id="2" xr3:uid="{C08FDC64-811D-410F-9107-11FAC16A811F}" name="หน่วยต่อวัน" dataDxfId="3"/>
    <tableColumn id="3" xr3:uid="{9FC6464F-7056-4AE1-91A6-B7CB889B6C29}" name="ปริมาณน้ำเสีย"/>
    <tableColumn id="4" xr3:uid="{67273A6B-4678-4BF5-83FD-C3E0FE6167F8}" name="BOD"/>
    <tableColumn id="5" xr3:uid="{0BA450A3-8285-4A0A-B29B-23A1AF2954B5}" name="หมายเหตุ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623753-B3FD-4E3E-A9EA-D54BB93CF881}" name="Table14" displayName="Table14" ref="B2:G27" totalsRowShown="0">
  <autoFilter ref="B2:G27" xr:uid="{992399FC-C29F-49D0-B323-7B13DDEBB23E}"/>
  <sortState xmlns:xlrd2="http://schemas.microsoft.com/office/spreadsheetml/2017/richdata2" ref="B3:D26">
    <sortCondition ref="B2:B26"/>
  </sortState>
  <tableColumns count="6">
    <tableColumn id="1" xr3:uid="{E43511CE-8F7C-4513-A427-963EDB3B9E82}" name="AP-AB" dataDxfId="2"/>
    <tableColumn id="2" xr3:uid="{A2399EB8-63FF-490C-8F4E-4927309A46E6}" name="Model" dataDxfId="1"/>
    <tableColumn id="3" xr3:uid="{2D22CA07-034F-4627-9F39-34B2B24CCA63}" name="ยี่ห้อ"/>
    <tableColumn id="4" xr3:uid="{99CAEFE1-FDDF-4FF5-82D8-7D30E8F0C589}" name="Air Flow"/>
    <tableColumn id="7" xr3:uid="{EF954DA1-418F-4DAC-916A-0A0F576D8595}" name="kW"/>
    <tableColumn id="8" xr3:uid="{67BBDB51-BC01-4C9E-945D-8F02DE343D4C}" name="Price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8300-2304-4A8B-8D8E-0AFA54AF53A2}">
  <dimension ref="B1:K31"/>
  <sheetViews>
    <sheetView topLeftCell="C16" workbookViewId="0">
      <selection activeCell="I36" sqref="I36"/>
    </sheetView>
  </sheetViews>
  <sheetFormatPr defaultRowHeight="14.4" x14ac:dyDescent="0.3"/>
  <cols>
    <col min="1" max="1" width="2.21875" customWidth="1"/>
    <col min="2" max="2" width="35.21875" bestFit="1" customWidth="1"/>
    <col min="3" max="3" width="2.6640625" customWidth="1"/>
    <col min="5" max="5" width="25.109375" bestFit="1" customWidth="1"/>
    <col min="6" max="6" width="2" bestFit="1" customWidth="1"/>
    <col min="7" max="7" width="17.77734375" bestFit="1" customWidth="1"/>
    <col min="8" max="8" width="10.109375" bestFit="1" customWidth="1"/>
    <col min="9" max="9" width="8.88671875" customWidth="1"/>
    <col min="11" max="11" width="8.88671875" customWidth="1"/>
  </cols>
  <sheetData>
    <row r="1" spans="2:11" ht="15" thickBot="1" x14ac:dyDescent="0.35"/>
    <row r="2" spans="2:11" x14ac:dyDescent="0.3">
      <c r="B2" s="146" t="s">
        <v>7</v>
      </c>
      <c r="E2" s="48" t="s">
        <v>7</v>
      </c>
      <c r="F2" t="s">
        <v>9</v>
      </c>
      <c r="G2" s="74" t="s">
        <v>206</v>
      </c>
      <c r="I2" s="158" t="s">
        <v>226</v>
      </c>
      <c r="J2" s="158"/>
      <c r="K2" s="158"/>
    </row>
    <row r="3" spans="2:11" x14ac:dyDescent="0.3">
      <c r="B3" s="74" t="s">
        <v>199</v>
      </c>
      <c r="E3" s="47" t="s">
        <v>10</v>
      </c>
      <c r="F3" t="s">
        <v>9</v>
      </c>
      <c r="G3" s="3">
        <f>5000/70</f>
        <v>71.428571428571431</v>
      </c>
      <c r="H3" t="str">
        <f>CAL!F4</f>
        <v>ตารางเมตร</v>
      </c>
      <c r="I3" s="158"/>
      <c r="J3" s="158"/>
      <c r="K3" s="158"/>
    </row>
    <row r="4" spans="2:11" x14ac:dyDescent="0.3">
      <c r="B4" s="75" t="s">
        <v>202</v>
      </c>
      <c r="E4" s="147"/>
      <c r="F4" s="147"/>
      <c r="G4" s="147"/>
    </row>
    <row r="5" spans="2:11" x14ac:dyDescent="0.3">
      <c r="B5" s="74" t="s">
        <v>200</v>
      </c>
      <c r="G5" s="5"/>
    </row>
    <row r="6" spans="2:11" x14ac:dyDescent="0.3">
      <c r="B6" s="75" t="s">
        <v>201</v>
      </c>
      <c r="E6" s="6" t="s">
        <v>95</v>
      </c>
      <c r="F6" s="6" t="s">
        <v>9</v>
      </c>
      <c r="G6" s="93"/>
      <c r="H6" t="s">
        <v>96</v>
      </c>
      <c r="I6" s="6" t="s">
        <v>100</v>
      </c>
    </row>
    <row r="7" spans="2:11" x14ac:dyDescent="0.3">
      <c r="B7" s="74" t="s">
        <v>203</v>
      </c>
      <c r="G7" s="5"/>
    </row>
    <row r="8" spans="2:11" x14ac:dyDescent="0.3">
      <c r="B8" s="75" t="s">
        <v>204</v>
      </c>
      <c r="G8" s="5"/>
    </row>
    <row r="9" spans="2:11" x14ac:dyDescent="0.3">
      <c r="B9" s="74" t="s">
        <v>205</v>
      </c>
      <c r="E9" t="s">
        <v>32</v>
      </c>
      <c r="G9" s="5"/>
    </row>
    <row r="10" spans="2:11" x14ac:dyDescent="0.3">
      <c r="B10" s="75" t="s">
        <v>49</v>
      </c>
    </row>
    <row r="11" spans="2:11" x14ac:dyDescent="0.3">
      <c r="B11" s="74" t="s">
        <v>206</v>
      </c>
      <c r="E11" t="s">
        <v>11</v>
      </c>
      <c r="F11" t="s">
        <v>9</v>
      </c>
      <c r="G11" s="6" t="str">
        <f>CAL!F30</f>
        <v>จำเป็น</v>
      </c>
    </row>
    <row r="12" spans="2:11" x14ac:dyDescent="0.3">
      <c r="B12" s="75" t="s">
        <v>207</v>
      </c>
      <c r="E12" t="str">
        <f>IF(G11="จำเป็น","ถังดักไขมัน รุ่น","-")</f>
        <v>ถังดักไขมัน รุ่น</v>
      </c>
      <c r="F12" t="str">
        <f>IF(G11="จำเป็น","=","-")</f>
        <v>=</v>
      </c>
      <c r="G12" t="str">
        <f>IF(G11="จำเป็น",CAL!F31,"-")</f>
        <v>SGT-1000</v>
      </c>
    </row>
    <row r="13" spans="2:11" x14ac:dyDescent="0.3">
      <c r="B13" s="74" t="s">
        <v>208</v>
      </c>
      <c r="E13" t="str">
        <f>IF(G11="จำเป็น","ราคา","-")</f>
        <v>ราคา</v>
      </c>
      <c r="F13" t="str">
        <f>IF(G11="จำเป็น","=","-")</f>
        <v>=</v>
      </c>
      <c r="G13" s="1">
        <f>IF(G11="จำเป็น",CAL!F32,"-")</f>
        <v>19500</v>
      </c>
      <c r="H13" t="str">
        <f>IF(G11="จำเป็น",CAL!G31,"-")</f>
        <v>บาท</v>
      </c>
    </row>
    <row r="14" spans="2:11" x14ac:dyDescent="0.3">
      <c r="B14" s="75" t="s">
        <v>209</v>
      </c>
    </row>
    <row r="15" spans="2:11" x14ac:dyDescent="0.3">
      <c r="B15" s="74" t="s">
        <v>221</v>
      </c>
      <c r="E15" s="61" t="s">
        <v>36</v>
      </c>
      <c r="F15" s="62" t="s">
        <v>9</v>
      </c>
      <c r="G15" s="62" t="str">
        <f>CAL!F40</f>
        <v>PS-12500A</v>
      </c>
      <c r="H15" s="63"/>
    </row>
    <row r="16" spans="2:11" x14ac:dyDescent="0.3">
      <c r="B16" s="75" t="s">
        <v>210</v>
      </c>
      <c r="E16" s="64" t="s">
        <v>34</v>
      </c>
      <c r="F16" s="65" t="s">
        <v>9</v>
      </c>
      <c r="G16" s="66">
        <f>CAL!F41</f>
        <v>238500</v>
      </c>
      <c r="H16" s="67" t="str">
        <f>CAL!G41</f>
        <v>บาท</v>
      </c>
    </row>
    <row r="17" spans="2:10" x14ac:dyDescent="0.3">
      <c r="B17" s="74" t="s">
        <v>211</v>
      </c>
      <c r="E17" s="112" t="str">
        <f>CAL!H39</f>
        <v>BOD ขาออก = 20 mg./l.</v>
      </c>
      <c r="F17" s="113"/>
      <c r="G17" s="113"/>
      <c r="H17" s="111"/>
      <c r="I17" s="114"/>
      <c r="J17" s="114"/>
    </row>
    <row r="18" spans="2:10" x14ac:dyDescent="0.3">
      <c r="B18" s="75" t="s">
        <v>138</v>
      </c>
      <c r="E18" s="151" t="str">
        <f>CAL!H47</f>
        <v>ต้องเพิ่มเครื่องเติมอากาศ</v>
      </c>
      <c r="F18" s="60"/>
      <c r="G18" s="110"/>
      <c r="H18" s="111"/>
      <c r="I18" s="59"/>
      <c r="J18" s="59"/>
    </row>
    <row r="19" spans="2:10" x14ac:dyDescent="0.3">
      <c r="B19" s="74" t="s">
        <v>212</v>
      </c>
      <c r="E19" s="109" t="str">
        <f>CAL!D48</f>
        <v>Model</v>
      </c>
      <c r="F19" s="60" t="str">
        <f>CAL!E48</f>
        <v>=</v>
      </c>
      <c r="G19" s="60" t="str">
        <f>CAL!F48</f>
        <v>EL-120W</v>
      </c>
      <c r="H19" s="111"/>
      <c r="I19" s="59"/>
      <c r="J19" s="59"/>
    </row>
    <row r="20" spans="2:10" x14ac:dyDescent="0.3">
      <c r="B20" s="75" t="s">
        <v>213</v>
      </c>
      <c r="E20" s="109" t="str">
        <f>CAL!D49</f>
        <v>จำนวน</v>
      </c>
      <c r="F20" s="60" t="str">
        <f>CAL!E49</f>
        <v>=</v>
      </c>
      <c r="G20" s="60">
        <f>CAL!F49</f>
        <v>1</v>
      </c>
      <c r="H20" s="111" t="str">
        <f>CAL!G49</f>
        <v>ตัว</v>
      </c>
      <c r="I20" s="59"/>
      <c r="J20" s="59"/>
    </row>
    <row r="21" spans="2:10" x14ac:dyDescent="0.3">
      <c r="B21" s="74" t="s">
        <v>214</v>
      </c>
      <c r="E21" s="109" t="str">
        <f>CAL!D50</f>
        <v>เพิ่มราคา</v>
      </c>
      <c r="F21" s="60" t="str">
        <f>CAL!E50</f>
        <v>=</v>
      </c>
      <c r="G21" s="110">
        <f>CAL!F50</f>
        <v>10500</v>
      </c>
      <c r="H21" s="111" t="str">
        <f>CAL!G50</f>
        <v>บาท</v>
      </c>
      <c r="I21" s="59"/>
      <c r="J21" s="59"/>
    </row>
    <row r="22" spans="2:10" x14ac:dyDescent="0.3">
      <c r="B22" s="75" t="s">
        <v>215</v>
      </c>
      <c r="E22" s="115"/>
      <c r="F22" s="116"/>
      <c r="G22" s="117"/>
      <c r="H22" s="118"/>
      <c r="I22" s="59"/>
      <c r="J22" s="59"/>
    </row>
    <row r="23" spans="2:10" x14ac:dyDescent="0.3">
      <c r="B23" s="74" t="s">
        <v>216</v>
      </c>
      <c r="E23" s="152" t="s">
        <v>33</v>
      </c>
      <c r="F23" s="153"/>
      <c r="G23" s="153"/>
      <c r="H23" s="154"/>
      <c r="I23" s="59"/>
      <c r="J23" s="59"/>
    </row>
    <row r="24" spans="2:10" x14ac:dyDescent="0.3">
      <c r="B24" s="75" t="s">
        <v>217</v>
      </c>
      <c r="E24" s="155"/>
      <c r="F24" s="156"/>
      <c r="G24" s="156"/>
      <c r="H24" s="157"/>
      <c r="I24" s="59"/>
      <c r="J24" s="59"/>
    </row>
    <row r="25" spans="2:10" x14ac:dyDescent="0.3">
      <c r="B25" s="74" t="s">
        <v>218</v>
      </c>
      <c r="E25" s="64" t="s">
        <v>48</v>
      </c>
      <c r="F25" s="65" t="s">
        <v>9</v>
      </c>
      <c r="G25" s="148" t="str">
        <f>CAL!F55</f>
        <v>PS-2018Z</v>
      </c>
      <c r="H25" s="67"/>
      <c r="I25" s="6" t="str">
        <f>CAL!D57</f>
        <v>*ควรใช้ร่วมกับระบบเติมอากาศ เพื่อประสิทธิภาพการบำบัด</v>
      </c>
      <c r="J25" s="106"/>
    </row>
    <row r="26" spans="2:10" x14ac:dyDescent="0.3">
      <c r="B26" s="75" t="s">
        <v>220</v>
      </c>
      <c r="E26" s="64" t="s">
        <v>34</v>
      </c>
      <c r="F26" s="65" t="s">
        <v>9</v>
      </c>
      <c r="G26" s="148">
        <f>CAL!F56</f>
        <v>240500</v>
      </c>
      <c r="H26" s="67" t="str">
        <f>CAL!G56</f>
        <v>บาท</v>
      </c>
    </row>
    <row r="27" spans="2:10" x14ac:dyDescent="0.3">
      <c r="B27" s="74" t="s">
        <v>225</v>
      </c>
      <c r="E27" s="108" t="str">
        <f>CAL!H54</f>
        <v>BOD ขาออก = 60 mg./l.</v>
      </c>
      <c r="F27" s="2"/>
      <c r="G27" s="68"/>
      <c r="H27" s="69"/>
    </row>
    <row r="28" spans="2:10" x14ac:dyDescent="0.3">
      <c r="B28" s="75" t="s">
        <v>219</v>
      </c>
    </row>
    <row r="29" spans="2:10" x14ac:dyDescent="0.3">
      <c r="B29" s="74" t="s">
        <v>222</v>
      </c>
      <c r="E29" s="145" t="s">
        <v>198</v>
      </c>
    </row>
    <row r="30" spans="2:10" x14ac:dyDescent="0.3">
      <c r="B30" s="75" t="s">
        <v>223</v>
      </c>
    </row>
    <row r="31" spans="2:10" x14ac:dyDescent="0.3">
      <c r="B31" s="76" t="s">
        <v>224</v>
      </c>
    </row>
  </sheetData>
  <mergeCells count="2">
    <mergeCell ref="E23:H24"/>
    <mergeCell ref="I2:K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AB9E-4068-40B5-95AF-A1C5E57B1E12}">
  <dimension ref="B2:H28"/>
  <sheetViews>
    <sheetView workbookViewId="0">
      <selection activeCell="G10" sqref="G10"/>
    </sheetView>
  </sheetViews>
  <sheetFormatPr defaultRowHeight="14.4" x14ac:dyDescent="0.3"/>
  <cols>
    <col min="1" max="1" width="2.6640625" customWidth="1"/>
    <col min="2" max="2" width="10.77734375" bestFit="1" customWidth="1"/>
    <col min="3" max="3" width="10.88671875" bestFit="1" customWidth="1"/>
    <col min="4" max="4" width="7.21875" bestFit="1" customWidth="1"/>
    <col min="5" max="5" width="9.88671875" bestFit="1" customWidth="1"/>
    <col min="6" max="6" width="6" bestFit="1" customWidth="1"/>
    <col min="7" max="7" width="8.6640625" style="1" bestFit="1" customWidth="1"/>
    <col min="8" max="8" width="16.109375" bestFit="1" customWidth="1"/>
  </cols>
  <sheetData>
    <row r="2" spans="2:8" x14ac:dyDescent="0.3">
      <c r="B2" s="86" t="s">
        <v>62</v>
      </c>
      <c r="C2" s="86" t="s">
        <v>67</v>
      </c>
      <c r="D2" s="65" t="s">
        <v>64</v>
      </c>
      <c r="E2" s="65" t="s">
        <v>66</v>
      </c>
      <c r="F2" t="s">
        <v>89</v>
      </c>
      <c r="G2" s="1" t="s">
        <v>18</v>
      </c>
    </row>
    <row r="3" spans="2:8" x14ac:dyDescent="0.3">
      <c r="B3" s="83" t="s">
        <v>63</v>
      </c>
      <c r="C3" s="83" t="s">
        <v>68</v>
      </c>
      <c r="D3" s="85" t="s">
        <v>65</v>
      </c>
      <c r="E3" s="65">
        <v>0.04</v>
      </c>
      <c r="F3" s="78">
        <v>3.5000000000000003E-2</v>
      </c>
      <c r="G3" s="1">
        <v>4500</v>
      </c>
      <c r="H3" s="162" t="s">
        <v>90</v>
      </c>
    </row>
    <row r="4" spans="2:8" x14ac:dyDescent="0.3">
      <c r="B4" s="83" t="s">
        <v>63</v>
      </c>
      <c r="C4" s="83" t="s">
        <v>69</v>
      </c>
      <c r="D4" s="85" t="s">
        <v>65</v>
      </c>
      <c r="E4" s="65">
        <v>0.05</v>
      </c>
      <c r="F4" s="78">
        <v>0.05</v>
      </c>
      <c r="G4" s="1">
        <v>4500</v>
      </c>
      <c r="H4" s="162"/>
    </row>
    <row r="5" spans="2:8" x14ac:dyDescent="0.3">
      <c r="B5" s="83" t="s">
        <v>63</v>
      </c>
      <c r="C5" s="83" t="s">
        <v>70</v>
      </c>
      <c r="D5" s="85" t="s">
        <v>65</v>
      </c>
      <c r="E5" s="65">
        <v>0.06</v>
      </c>
      <c r="F5" s="78">
        <v>6.5000000000000002E-2</v>
      </c>
      <c r="G5" s="1">
        <v>5000</v>
      </c>
      <c r="H5" s="162"/>
    </row>
    <row r="6" spans="2:8" x14ac:dyDescent="0.3">
      <c r="B6" s="83" t="s">
        <v>63</v>
      </c>
      <c r="C6" s="83" t="s">
        <v>71</v>
      </c>
      <c r="D6" s="85" t="s">
        <v>65</v>
      </c>
      <c r="E6" s="87">
        <v>0.08</v>
      </c>
      <c r="F6" s="78">
        <v>0.08</v>
      </c>
      <c r="G6" s="1">
        <v>6500</v>
      </c>
      <c r="H6" s="162"/>
    </row>
    <row r="7" spans="2:8" x14ac:dyDescent="0.3">
      <c r="B7" s="83" t="s">
        <v>63</v>
      </c>
      <c r="C7" s="83" t="s">
        <v>72</v>
      </c>
      <c r="D7" s="85" t="s">
        <v>65</v>
      </c>
      <c r="E7" s="87">
        <v>0.1</v>
      </c>
      <c r="F7" s="78">
        <v>0.11</v>
      </c>
      <c r="G7" s="1">
        <v>7500</v>
      </c>
      <c r="H7" s="162"/>
    </row>
    <row r="8" spans="2:8" x14ac:dyDescent="0.3">
      <c r="B8" s="83" t="s">
        <v>63</v>
      </c>
      <c r="C8" s="83" t="s">
        <v>73</v>
      </c>
      <c r="D8" s="85" t="s">
        <v>65</v>
      </c>
      <c r="E8" s="87">
        <v>0.12</v>
      </c>
      <c r="F8" s="78">
        <v>0.11</v>
      </c>
      <c r="G8" s="1">
        <v>10500</v>
      </c>
      <c r="H8" s="162"/>
    </row>
    <row r="9" spans="2:8" x14ac:dyDescent="0.3">
      <c r="B9" s="83" t="s">
        <v>63</v>
      </c>
      <c r="C9" s="83" t="s">
        <v>74</v>
      </c>
      <c r="D9" s="85" t="s">
        <v>65</v>
      </c>
      <c r="E9" s="87">
        <v>0.15</v>
      </c>
      <c r="F9" s="78">
        <v>0.14000000000000001</v>
      </c>
      <c r="G9" s="1">
        <v>12500</v>
      </c>
      <c r="H9" s="162"/>
    </row>
    <row r="10" spans="2:8" x14ac:dyDescent="0.3">
      <c r="B10" s="84" t="s">
        <v>63</v>
      </c>
      <c r="C10" s="82" t="s">
        <v>75</v>
      </c>
      <c r="D10" s="82" t="s">
        <v>65</v>
      </c>
      <c r="E10" s="88">
        <v>0.2</v>
      </c>
      <c r="F10" s="78">
        <v>0.2</v>
      </c>
      <c r="G10" s="1">
        <v>14000</v>
      </c>
      <c r="H10" s="162"/>
    </row>
    <row r="11" spans="2:8" x14ac:dyDescent="0.3">
      <c r="B11" s="83" t="s">
        <v>76</v>
      </c>
      <c r="C11" s="85" t="s">
        <v>83</v>
      </c>
      <c r="D11" s="85" t="s">
        <v>77</v>
      </c>
      <c r="E11" s="65">
        <v>0.36</v>
      </c>
      <c r="F11">
        <v>0.75</v>
      </c>
      <c r="G11" s="1">
        <v>30000</v>
      </c>
      <c r="H11" s="162"/>
    </row>
    <row r="12" spans="2:8" x14ac:dyDescent="0.3">
      <c r="B12" s="83" t="s">
        <v>76</v>
      </c>
      <c r="C12" s="85" t="s">
        <v>83</v>
      </c>
      <c r="D12" s="85" t="s">
        <v>77</v>
      </c>
      <c r="E12" s="65">
        <v>0.56000000000000005</v>
      </c>
      <c r="F12">
        <v>0.75</v>
      </c>
      <c r="G12" s="1">
        <v>30000</v>
      </c>
      <c r="H12" s="162"/>
    </row>
    <row r="13" spans="2:8" x14ac:dyDescent="0.3">
      <c r="B13" s="83" t="s">
        <v>76</v>
      </c>
      <c r="C13" s="85" t="s">
        <v>83</v>
      </c>
      <c r="D13" s="85" t="s">
        <v>77</v>
      </c>
      <c r="E13" s="65">
        <v>0.75</v>
      </c>
      <c r="F13">
        <v>0.75</v>
      </c>
      <c r="G13" s="1">
        <v>30000</v>
      </c>
      <c r="H13" s="162"/>
    </row>
    <row r="14" spans="2:8" x14ac:dyDescent="0.3">
      <c r="B14" s="83" t="s">
        <v>76</v>
      </c>
      <c r="C14" s="85" t="s">
        <v>83</v>
      </c>
      <c r="D14" s="85" t="s">
        <v>77</v>
      </c>
      <c r="E14" s="65">
        <v>0.95</v>
      </c>
      <c r="F14">
        <v>1.5</v>
      </c>
      <c r="G14" s="1">
        <v>35000</v>
      </c>
      <c r="H14" s="162"/>
    </row>
    <row r="15" spans="2:8" x14ac:dyDescent="0.3">
      <c r="B15" s="83" t="s">
        <v>76</v>
      </c>
      <c r="C15" s="85" t="s">
        <v>84</v>
      </c>
      <c r="D15" s="85" t="s">
        <v>77</v>
      </c>
      <c r="E15" s="65">
        <v>1.05</v>
      </c>
      <c r="F15">
        <v>1.5</v>
      </c>
      <c r="G15" s="1">
        <f ca="1">Table14[[#This Row],[Price]]/0.7</f>
        <v>50000</v>
      </c>
      <c r="H15" s="162"/>
    </row>
    <row r="16" spans="2:8" x14ac:dyDescent="0.3">
      <c r="B16" s="83" t="s">
        <v>76</v>
      </c>
      <c r="C16" s="85" t="s">
        <v>84</v>
      </c>
      <c r="D16" s="85" t="s">
        <v>77</v>
      </c>
      <c r="E16" s="87">
        <v>1.2</v>
      </c>
      <c r="F16">
        <v>1.5</v>
      </c>
      <c r="G16" s="1">
        <f ca="1">Table14[[#This Row],[Price]]/0.7</f>
        <v>50000</v>
      </c>
      <c r="H16" s="162"/>
    </row>
    <row r="17" spans="2:8" x14ac:dyDescent="0.3">
      <c r="B17" s="83" t="s">
        <v>76</v>
      </c>
      <c r="C17" s="85" t="s">
        <v>84</v>
      </c>
      <c r="D17" s="85" t="s">
        <v>77</v>
      </c>
      <c r="E17" s="87">
        <v>1.34</v>
      </c>
      <c r="F17">
        <v>1.5</v>
      </c>
      <c r="G17" s="1">
        <f ca="1">Table14[[#This Row],[Price]]/0.7</f>
        <v>50000</v>
      </c>
      <c r="H17" s="162"/>
    </row>
    <row r="18" spans="2:8" x14ac:dyDescent="0.3">
      <c r="B18" s="83" t="s">
        <v>76</v>
      </c>
      <c r="C18" s="85" t="s">
        <v>85</v>
      </c>
      <c r="D18" s="85" t="s">
        <v>77</v>
      </c>
      <c r="E18" s="87">
        <v>1.4</v>
      </c>
      <c r="F18">
        <v>1.5</v>
      </c>
      <c r="G18" s="1">
        <f ca="1">Table14[[#This Row],[Price]]/0.7</f>
        <v>50000</v>
      </c>
      <c r="H18" s="162"/>
    </row>
    <row r="19" spans="2:8" x14ac:dyDescent="0.3">
      <c r="B19" s="83" t="s">
        <v>76</v>
      </c>
      <c r="C19" s="85" t="s">
        <v>85</v>
      </c>
      <c r="D19" s="85" t="s">
        <v>77</v>
      </c>
      <c r="E19" s="87">
        <v>1.65</v>
      </c>
      <c r="F19">
        <v>1.5</v>
      </c>
      <c r="G19" s="1">
        <f ca="1">Table14[[#This Row],[Price]]/0.7</f>
        <v>50000</v>
      </c>
      <c r="H19" s="162"/>
    </row>
    <row r="20" spans="2:8" x14ac:dyDescent="0.3">
      <c r="B20" s="83" t="s">
        <v>76</v>
      </c>
      <c r="C20" s="85" t="s">
        <v>85</v>
      </c>
      <c r="D20" s="85" t="s">
        <v>77</v>
      </c>
      <c r="E20" s="65">
        <v>1.89</v>
      </c>
      <c r="F20">
        <v>1.5</v>
      </c>
      <c r="G20" s="1">
        <f ca="1">Table14[[#This Row],[Price]]/0.7</f>
        <v>50000</v>
      </c>
      <c r="H20" s="162"/>
    </row>
    <row r="21" spans="2:8" x14ac:dyDescent="0.3">
      <c r="B21" s="83" t="s">
        <v>76</v>
      </c>
      <c r="C21" s="85" t="s">
        <v>85</v>
      </c>
      <c r="D21" s="85" t="s">
        <v>77</v>
      </c>
      <c r="E21" s="65">
        <v>2.0699999999999998</v>
      </c>
      <c r="F21">
        <v>1.5</v>
      </c>
      <c r="G21" s="1">
        <f ca="1">Table14[[#This Row],[Price]]/0.7</f>
        <v>50000</v>
      </c>
      <c r="H21" s="162"/>
    </row>
    <row r="22" spans="2:8" x14ac:dyDescent="0.3">
      <c r="B22" s="83" t="s">
        <v>76</v>
      </c>
      <c r="C22" s="85" t="s">
        <v>85</v>
      </c>
      <c r="D22" s="85" t="s">
        <v>77</v>
      </c>
      <c r="E22" s="65">
        <v>2.21</v>
      </c>
      <c r="F22">
        <v>2.2000000000000002</v>
      </c>
      <c r="G22" s="1">
        <f ca="1">Table14[[#This Row],[Price]]/0.7</f>
        <v>50000</v>
      </c>
      <c r="H22" s="162"/>
    </row>
    <row r="23" spans="2:8" x14ac:dyDescent="0.3">
      <c r="B23" s="83" t="s">
        <v>76</v>
      </c>
      <c r="C23" s="85" t="s">
        <v>85</v>
      </c>
      <c r="D23" s="85" t="s">
        <v>77</v>
      </c>
      <c r="E23" s="65">
        <v>2.42</v>
      </c>
      <c r="F23">
        <v>2.2000000000000002</v>
      </c>
      <c r="G23" s="1">
        <f ca="1">Table14[[#This Row],[Price]]/0.7</f>
        <v>50000</v>
      </c>
      <c r="H23" s="162"/>
    </row>
    <row r="24" spans="2:8" x14ac:dyDescent="0.3">
      <c r="B24" s="83" t="s">
        <v>76</v>
      </c>
      <c r="C24" s="85" t="s">
        <v>85</v>
      </c>
      <c r="D24" s="85" t="s">
        <v>77</v>
      </c>
      <c r="E24" s="65">
        <v>2.62</v>
      </c>
      <c r="F24">
        <v>2.2000000000000002</v>
      </c>
      <c r="G24" s="1">
        <f ca="1">Table14[[#This Row],[Price]]/0.7</f>
        <v>50000</v>
      </c>
      <c r="H24" s="162"/>
    </row>
    <row r="25" spans="2:8" x14ac:dyDescent="0.3">
      <c r="B25" s="83" t="s">
        <v>76</v>
      </c>
      <c r="C25" s="85" t="s">
        <v>85</v>
      </c>
      <c r="D25" s="85" t="s">
        <v>77</v>
      </c>
      <c r="E25" s="65">
        <v>2.78</v>
      </c>
      <c r="F25">
        <v>2.2000000000000002</v>
      </c>
      <c r="G25" s="1">
        <f ca="1">Table14[[#This Row],[Price]]/0.7</f>
        <v>50000</v>
      </c>
      <c r="H25" s="162"/>
    </row>
    <row r="26" spans="2:8" x14ac:dyDescent="0.3">
      <c r="B26" s="83" t="s">
        <v>76</v>
      </c>
      <c r="C26" s="85" t="s">
        <v>91</v>
      </c>
      <c r="D26" s="85" t="s">
        <v>77</v>
      </c>
      <c r="E26" s="65">
        <v>2.84</v>
      </c>
      <c r="F26">
        <v>2.2000000000000002</v>
      </c>
      <c r="G26" s="1">
        <f ca="1">Table14[[#This Row],[Price]]/0.7</f>
        <v>50000</v>
      </c>
      <c r="H26" s="162"/>
    </row>
    <row r="27" spans="2:8" x14ac:dyDescent="0.3">
      <c r="B27" s="91"/>
      <c r="C27" s="71"/>
    </row>
    <row r="28" spans="2:8" x14ac:dyDescent="0.3">
      <c r="B28" s="59"/>
    </row>
  </sheetData>
  <mergeCells count="1">
    <mergeCell ref="H3:H26"/>
  </mergeCells>
  <phoneticPr fontId="6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B115-96CB-4135-90B4-6FFD665EA330}">
  <dimension ref="B1:H57"/>
  <sheetViews>
    <sheetView topLeftCell="C32" workbookViewId="0">
      <selection activeCell="D54" sqref="D54"/>
    </sheetView>
  </sheetViews>
  <sheetFormatPr defaultRowHeight="14.4" x14ac:dyDescent="0.3"/>
  <cols>
    <col min="1" max="1" width="2.6640625" customWidth="1"/>
    <col min="2" max="2" width="35.21875" style="59" bestFit="1" customWidth="1"/>
    <col min="3" max="3" width="2.6640625" customWidth="1"/>
    <col min="4" max="4" width="32.21875" bestFit="1" customWidth="1"/>
    <col min="5" max="5" width="2" bestFit="1" customWidth="1"/>
    <col min="6" max="6" width="15.33203125" customWidth="1"/>
    <col min="7" max="7" width="10.88671875" bestFit="1" customWidth="1"/>
    <col min="8" max="8" width="27.88671875" bestFit="1" customWidth="1"/>
    <col min="9" max="9" width="4.33203125" customWidth="1"/>
  </cols>
  <sheetData>
    <row r="1" spans="2:8" ht="15" thickBot="1" x14ac:dyDescent="0.35"/>
    <row r="2" spans="2:8" x14ac:dyDescent="0.3">
      <c r="B2" s="146" t="s">
        <v>7</v>
      </c>
      <c r="D2" t="s">
        <v>7</v>
      </c>
      <c r="E2" t="s">
        <v>9</v>
      </c>
      <c r="F2" s="3" t="str">
        <f>FRONT!G2</f>
        <v>ตลาดสด(น้ำเสียครัว)</v>
      </c>
      <c r="G2" t="str">
        <f>TRIM(F2)</f>
        <v>ตลาดสด(น้ำเสียครัว)</v>
      </c>
    </row>
    <row r="3" spans="2:8" x14ac:dyDescent="0.3">
      <c r="B3" s="74" t="s">
        <v>199</v>
      </c>
      <c r="D3" t="s">
        <v>10</v>
      </c>
      <c r="E3" t="s">
        <v>9</v>
      </c>
      <c r="F3" s="3">
        <f>FRONT!G3</f>
        <v>71.428571428571431</v>
      </c>
    </row>
    <row r="4" spans="2:8" x14ac:dyDescent="0.3">
      <c r="B4" s="75" t="s">
        <v>202</v>
      </c>
      <c r="D4" t="s">
        <v>6</v>
      </c>
      <c r="E4" t="s">
        <v>9</v>
      </c>
      <c r="F4" t="str">
        <f>_xlfn.XLOOKUP(CAL!G2,Table1[ประเภทอาคาร],Table1[หน่วยต่อวัน],"กรุณากรอกข้อมูลให้ถูกต้อง",2,1)</f>
        <v>ตารางเมตร</v>
      </c>
    </row>
    <row r="5" spans="2:8" x14ac:dyDescent="0.3">
      <c r="B5" s="74" t="s">
        <v>200</v>
      </c>
      <c r="D5" t="s">
        <v>136</v>
      </c>
      <c r="E5" t="s">
        <v>9</v>
      </c>
      <c r="F5">
        <f>_xlfn.XLOOKUP(CAL!F2,Table1[ประเภทอาคาร],Table1[ปริมาณน้ำเสีย],"ข้อมูลไม่ถูกต้อง",1,1)</f>
        <v>70</v>
      </c>
    </row>
    <row r="6" spans="2:8" x14ac:dyDescent="0.3">
      <c r="B6" s="75" t="s">
        <v>201</v>
      </c>
    </row>
    <row r="7" spans="2:8" x14ac:dyDescent="0.3">
      <c r="B7" s="74" t="s">
        <v>203</v>
      </c>
      <c r="D7" s="59"/>
      <c r="E7" s="59"/>
      <c r="F7" s="59"/>
      <c r="G7" s="59"/>
    </row>
    <row r="8" spans="2:8" x14ac:dyDescent="0.3">
      <c r="B8" s="75" t="s">
        <v>204</v>
      </c>
      <c r="D8" t="s">
        <v>97</v>
      </c>
      <c r="E8" t="s">
        <v>9</v>
      </c>
      <c r="F8">
        <f>_xlfn.XLOOKUP(CAL!G2,Table1[ประเภทอาคาร],Table1[BOD],"กรุณากรอกข้อมูลให้ถูกต้อง",2,1)</f>
        <v>588</v>
      </c>
      <c r="G8" t="s">
        <v>96</v>
      </c>
      <c r="H8" s="6" t="str">
        <f>VLOOKUP(G2,Table1[],5,0)</f>
        <v>*เป็นค่าBOD หลังผ่าน GT และ ST</v>
      </c>
    </row>
    <row r="9" spans="2:8" x14ac:dyDescent="0.3">
      <c r="B9" s="74" t="s">
        <v>205</v>
      </c>
    </row>
    <row r="10" spans="2:8" x14ac:dyDescent="0.3">
      <c r="B10" s="75" t="s">
        <v>49</v>
      </c>
      <c r="D10" t="s">
        <v>94</v>
      </c>
      <c r="E10" t="s">
        <v>9</v>
      </c>
      <c r="F10" s="5">
        <f>FRONT!G6</f>
        <v>0</v>
      </c>
    </row>
    <row r="11" spans="2:8" x14ac:dyDescent="0.3">
      <c r="B11" s="74" t="s">
        <v>206</v>
      </c>
      <c r="E11" t="s">
        <v>9</v>
      </c>
      <c r="F11">
        <f>IF(G7="น้ำครัว",0.7*0.7,0.7)</f>
        <v>0.7</v>
      </c>
    </row>
    <row r="12" spans="2:8" x14ac:dyDescent="0.3">
      <c r="B12" s="75" t="s">
        <v>207</v>
      </c>
      <c r="E12" t="s">
        <v>9</v>
      </c>
      <c r="F12" s="5">
        <f>F10*F11</f>
        <v>0</v>
      </c>
    </row>
    <row r="13" spans="2:8" x14ac:dyDescent="0.3">
      <c r="B13" s="74" t="s">
        <v>208</v>
      </c>
    </row>
    <row r="14" spans="2:8" x14ac:dyDescent="0.3">
      <c r="B14" s="75" t="s">
        <v>209</v>
      </c>
      <c r="D14" s="2" t="s">
        <v>99</v>
      </c>
      <c r="E14" s="2" t="s">
        <v>9</v>
      </c>
      <c r="F14" s="92">
        <f>MAX(F12,F8)</f>
        <v>588</v>
      </c>
      <c r="G14" s="2" t="s">
        <v>96</v>
      </c>
    </row>
    <row r="15" spans="2:8" x14ac:dyDescent="0.3">
      <c r="B15" s="74" t="s">
        <v>221</v>
      </c>
      <c r="D15" s="65"/>
      <c r="E15" s="65"/>
      <c r="F15" s="148"/>
      <c r="G15" s="65"/>
    </row>
    <row r="16" spans="2:8" ht="15" thickBot="1" x14ac:dyDescent="0.35">
      <c r="B16" s="75" t="s">
        <v>210</v>
      </c>
      <c r="D16" s="149" t="s">
        <v>14</v>
      </c>
    </row>
    <row r="17" spans="2:7" ht="15" thickBot="1" x14ac:dyDescent="0.35">
      <c r="B17" s="74" t="s">
        <v>211</v>
      </c>
      <c r="D17" t="s">
        <v>8</v>
      </c>
      <c r="E17" t="s">
        <v>9</v>
      </c>
      <c r="F17" s="80">
        <f>F3*F5/1000</f>
        <v>5</v>
      </c>
      <c r="G17" t="s">
        <v>47</v>
      </c>
    </row>
    <row r="18" spans="2:7" ht="15" thickBot="1" x14ac:dyDescent="0.35">
      <c r="B18" s="75" t="s">
        <v>138</v>
      </c>
      <c r="D18" t="s">
        <v>53</v>
      </c>
      <c r="E18" t="s">
        <v>9</v>
      </c>
      <c r="F18" s="5">
        <f>F17*F14/1000</f>
        <v>2.94</v>
      </c>
      <c r="G18" t="s">
        <v>54</v>
      </c>
    </row>
    <row r="19" spans="2:7" ht="15" thickBot="1" x14ac:dyDescent="0.35">
      <c r="B19" s="74" t="s">
        <v>212</v>
      </c>
      <c r="D19" t="s">
        <v>55</v>
      </c>
      <c r="E19" t="s">
        <v>9</v>
      </c>
      <c r="F19" s="80">
        <v>0.6</v>
      </c>
      <c r="G19" t="s">
        <v>57</v>
      </c>
    </row>
    <row r="20" spans="2:7" x14ac:dyDescent="0.3">
      <c r="B20" s="75" t="s">
        <v>213</v>
      </c>
      <c r="D20" t="s">
        <v>56</v>
      </c>
      <c r="E20" t="s">
        <v>9</v>
      </c>
      <c r="F20" s="79">
        <f>F18/F19</f>
        <v>4.9000000000000004</v>
      </c>
      <c r="G20" t="s">
        <v>60</v>
      </c>
    </row>
    <row r="21" spans="2:7" x14ac:dyDescent="0.3">
      <c r="B21" s="74" t="s">
        <v>214</v>
      </c>
      <c r="D21" t="s">
        <v>58</v>
      </c>
      <c r="E21" t="s">
        <v>9</v>
      </c>
      <c r="F21" s="79">
        <f>F20/F17*24</f>
        <v>23.520000000000003</v>
      </c>
      <c r="G21" t="s">
        <v>59</v>
      </c>
    </row>
    <row r="22" spans="2:7" x14ac:dyDescent="0.3">
      <c r="B22" s="75" t="s">
        <v>215</v>
      </c>
      <c r="D22" t="s">
        <v>148</v>
      </c>
      <c r="E22" t="s">
        <v>9</v>
      </c>
      <c r="F22" s="79">
        <f>IF(F21&lt;10,10,F21)</f>
        <v>23.520000000000003</v>
      </c>
      <c r="G22" t="s">
        <v>59</v>
      </c>
    </row>
    <row r="23" spans="2:7" x14ac:dyDescent="0.3">
      <c r="B23" s="74" t="s">
        <v>216</v>
      </c>
      <c r="D23" t="s">
        <v>143</v>
      </c>
      <c r="E23" t="s">
        <v>9</v>
      </c>
      <c r="F23" s="79">
        <f>F22*F17/24</f>
        <v>4.9000000000000012</v>
      </c>
      <c r="G23" t="s">
        <v>60</v>
      </c>
    </row>
    <row r="24" spans="2:7" x14ac:dyDescent="0.3">
      <c r="B24" s="75" t="s">
        <v>217</v>
      </c>
      <c r="D24" t="s">
        <v>61</v>
      </c>
      <c r="E24" t="s">
        <v>9</v>
      </c>
      <c r="F24" s="79">
        <f>F18*2/0.28/0.035/1440</f>
        <v>0.41666666666666657</v>
      </c>
      <c r="G24" t="s">
        <v>78</v>
      </c>
    </row>
    <row r="25" spans="2:7" x14ac:dyDescent="0.3">
      <c r="B25" s="74" t="s">
        <v>218</v>
      </c>
      <c r="D25" s="65"/>
      <c r="E25" s="65"/>
      <c r="F25" s="148"/>
      <c r="G25" s="65"/>
    </row>
    <row r="26" spans="2:7" x14ac:dyDescent="0.3">
      <c r="B26" s="75" t="s">
        <v>220</v>
      </c>
      <c r="D26" s="149" t="s">
        <v>229</v>
      </c>
    </row>
    <row r="27" spans="2:7" x14ac:dyDescent="0.3">
      <c r="B27" s="74" t="s">
        <v>225</v>
      </c>
      <c r="D27" t="s">
        <v>148</v>
      </c>
      <c r="E27" t="s">
        <v>9</v>
      </c>
      <c r="F27" s="150">
        <v>1.2</v>
      </c>
      <c r="G27" t="s">
        <v>230</v>
      </c>
    </row>
    <row r="28" spans="2:7" x14ac:dyDescent="0.3">
      <c r="B28" s="75" t="s">
        <v>219</v>
      </c>
      <c r="D28" t="s">
        <v>143</v>
      </c>
      <c r="E28" t="s">
        <v>9</v>
      </c>
      <c r="F28" s="79">
        <f>F23*F27</f>
        <v>5.8800000000000017</v>
      </c>
      <c r="G28" t="s">
        <v>60</v>
      </c>
    </row>
    <row r="29" spans="2:7" x14ac:dyDescent="0.3">
      <c r="B29" s="74" t="s">
        <v>222</v>
      </c>
    </row>
    <row r="30" spans="2:7" x14ac:dyDescent="0.3">
      <c r="B30" s="75" t="s">
        <v>223</v>
      </c>
      <c r="D30" t="s">
        <v>11</v>
      </c>
      <c r="E30" t="s">
        <v>9</v>
      </c>
      <c r="F30" t="str">
        <f>IF(F8=588,"จำเป็น","ไม่จำเป็น")</f>
        <v>จำเป็น</v>
      </c>
    </row>
    <row r="31" spans="2:7" x14ac:dyDescent="0.3">
      <c r="B31" s="76" t="s">
        <v>224</v>
      </c>
      <c r="D31" t="s">
        <v>35</v>
      </c>
      <c r="E31" t="s">
        <v>9</v>
      </c>
      <c r="F31" s="4" t="str">
        <f>_xlfn.XLOOKUP(F17,Product_GT!B5:B59,Product_GT!C5:C59,"ไม่พบสินค้า กรุณาติดต่อเรา",1,1)</f>
        <v>SGT-1000</v>
      </c>
      <c r="G31" t="str">
        <f>IF(F31="ไม่พบสินค้า กรุณาติดต่อเรา","-","บาท")</f>
        <v>บาท</v>
      </c>
    </row>
    <row r="32" spans="2:7" x14ac:dyDescent="0.3">
      <c r="D32" t="s">
        <v>34</v>
      </c>
      <c r="E32" t="s">
        <v>9</v>
      </c>
      <c r="F32" s="1">
        <f>_xlfn.XLOOKUP(F17,Product_GT!B5:B59,Product_GT!D5:D59,"ไม่พบสินค้า กรุณาติดต่อเรา",1,1)</f>
        <v>19500</v>
      </c>
    </row>
    <row r="34" spans="4:8" x14ac:dyDescent="0.3">
      <c r="D34" s="107" t="s">
        <v>25</v>
      </c>
    </row>
    <row r="35" spans="4:8" x14ac:dyDescent="0.3">
      <c r="D35" s="107" t="s">
        <v>26</v>
      </c>
    </row>
    <row r="37" spans="4:8" x14ac:dyDescent="0.3">
      <c r="D37" t="s">
        <v>14</v>
      </c>
    </row>
    <row r="39" spans="4:8" x14ac:dyDescent="0.3">
      <c r="D39" t="s">
        <v>139</v>
      </c>
      <c r="E39" t="s">
        <v>9</v>
      </c>
      <c r="F39" s="5">
        <f>F23</f>
        <v>4.9000000000000012</v>
      </c>
      <c r="G39" t="s">
        <v>140</v>
      </c>
      <c r="H39" s="6" t="s">
        <v>12</v>
      </c>
    </row>
    <row r="40" spans="4:8" x14ac:dyDescent="0.3">
      <c r="D40" t="s">
        <v>35</v>
      </c>
      <c r="E40" t="s">
        <v>9</v>
      </c>
      <c r="F40" s="4" t="str">
        <f>_xlfn.XLOOKUP(F39,Product_AT!I5:I30,Product_AT!C5:C30,"ไม่พบสินค้า กรุณาติดต่อเรา",1,1)</f>
        <v>PS-12500A</v>
      </c>
      <c r="H40" s="6"/>
    </row>
    <row r="41" spans="4:8" x14ac:dyDescent="0.3">
      <c r="D41" t="s">
        <v>34</v>
      </c>
      <c r="E41" t="s">
        <v>9</v>
      </c>
      <c r="F41" s="1">
        <f>_xlfn.XLOOKUP(F39,Product_AT!I5:I30,Product_AT!D5:D30,"-",1,1)</f>
        <v>238500</v>
      </c>
      <c r="G41" t="s">
        <v>93</v>
      </c>
      <c r="H41" s="6"/>
    </row>
    <row r="42" spans="4:8" x14ac:dyDescent="0.3">
      <c r="D42" t="s">
        <v>79</v>
      </c>
      <c r="E42" t="s">
        <v>9</v>
      </c>
      <c r="F42" s="89">
        <f>_xlfn.XLOOKUP(F39,Product_AT!I5:I30,Product_AT!K5:K30,"0",1,1)</f>
        <v>0.31076388888888884</v>
      </c>
      <c r="G42" t="s">
        <v>80</v>
      </c>
      <c r="H42" s="6"/>
    </row>
    <row r="43" spans="4:8" x14ac:dyDescent="0.3">
      <c r="D43" t="s">
        <v>86</v>
      </c>
      <c r="E43" t="s">
        <v>9</v>
      </c>
      <c r="F43" t="str">
        <f>_xlfn.XLOOKUP(F39,Product_AT!I5:I30,Product_AT!M5:M30,"-",1,1)</f>
        <v>EL-200W</v>
      </c>
    </row>
    <row r="44" spans="4:8" x14ac:dyDescent="0.3">
      <c r="D44" t="s">
        <v>10</v>
      </c>
      <c r="E44" t="s">
        <v>9</v>
      </c>
      <c r="F44">
        <f>_xlfn.XLOOKUP(F39,Product_AT!I5:I30,Product_AT!N5:N30,"0",1,1)</f>
        <v>2</v>
      </c>
      <c r="G44" t="s">
        <v>87</v>
      </c>
    </row>
    <row r="45" spans="4:8" x14ac:dyDescent="0.3">
      <c r="F45" s="5"/>
    </row>
    <row r="46" spans="4:8" x14ac:dyDescent="0.3">
      <c r="D46" t="s">
        <v>88</v>
      </c>
      <c r="E46" t="s">
        <v>9</v>
      </c>
      <c r="F46" s="5">
        <f>ROUND(F24-F42,2)</f>
        <v>0.11</v>
      </c>
      <c r="G46" t="s">
        <v>80</v>
      </c>
      <c r="H46" s="6"/>
    </row>
    <row r="47" spans="4:8" x14ac:dyDescent="0.3">
      <c r="E47" t="s">
        <v>9</v>
      </c>
      <c r="F47" s="5">
        <f>IF(F46&lt;=0.01,"ไม่ต้องเพิ่มลม",F46)</f>
        <v>0.11</v>
      </c>
      <c r="H47" s="6" t="str">
        <f>IF(F47="ไม่ต้องเพิ่มเครื่องเติมอากาศ","-","ต้องเพิ่มเครื่องเติมอากาศ")</f>
        <v>ต้องเพิ่มเครื่องเติมอากาศ</v>
      </c>
    </row>
    <row r="48" spans="4:8" x14ac:dyDescent="0.3">
      <c r="D48" t="s">
        <v>67</v>
      </c>
      <c r="E48" t="s">
        <v>9</v>
      </c>
      <c r="F48" s="5" t="str">
        <f>_xlfn.XLOOKUP(F47,'Product_AP-AB'!E3:E26,'Product_AP-AB'!C3:C26,"-",1,1)</f>
        <v>EL-120W</v>
      </c>
    </row>
    <row r="49" spans="4:8" x14ac:dyDescent="0.3">
      <c r="D49" t="s">
        <v>10</v>
      </c>
      <c r="E49" t="s">
        <v>9</v>
      </c>
      <c r="F49">
        <f>IF(F47="ไม่ต้องเพิ่มลม","-",1)</f>
        <v>1</v>
      </c>
      <c r="G49" t="str">
        <f>IF(F48="ไม่พบสินค้า กรุณาติดต่อเรา","-","ตัว")</f>
        <v>ตัว</v>
      </c>
      <c r="H49" s="6"/>
    </row>
    <row r="50" spans="4:8" x14ac:dyDescent="0.3">
      <c r="D50" t="s">
        <v>92</v>
      </c>
      <c r="E50" t="s">
        <v>9</v>
      </c>
      <c r="F50" s="1">
        <f>_xlfn.XLOOKUP(F47,'Product_AP-AB'!E3:E26,'Product_AP-AB'!G3:G26,"-",1,1)</f>
        <v>10500</v>
      </c>
      <c r="G50" t="s">
        <v>93</v>
      </c>
      <c r="H50" s="6"/>
    </row>
    <row r="51" spans="4:8" x14ac:dyDescent="0.3">
      <c r="H51" s="6"/>
    </row>
    <row r="52" spans="4:8" x14ac:dyDescent="0.3">
      <c r="D52" t="s">
        <v>13</v>
      </c>
      <c r="H52" s="6"/>
    </row>
    <row r="54" spans="4:8" x14ac:dyDescent="0.3">
      <c r="D54" t="s">
        <v>139</v>
      </c>
      <c r="E54" t="s">
        <v>9</v>
      </c>
      <c r="F54" s="5">
        <f>F28</f>
        <v>5.8800000000000017</v>
      </c>
      <c r="G54" t="s">
        <v>140</v>
      </c>
      <c r="H54" s="6" t="s">
        <v>15</v>
      </c>
    </row>
    <row r="55" spans="4:8" x14ac:dyDescent="0.3">
      <c r="D55" t="s">
        <v>35</v>
      </c>
      <c r="E55" t="s">
        <v>9</v>
      </c>
      <c r="F55" s="4" t="str">
        <f>_xlfn.XLOOKUP(F54,Product_AN!I5:I28,Product_AN!C5:C28,"ไม่พบสินค้า กรุณาติดต่อเรา",1,1)</f>
        <v>PS-2018Z</v>
      </c>
    </row>
    <row r="56" spans="4:8" x14ac:dyDescent="0.3">
      <c r="D56" t="s">
        <v>34</v>
      </c>
      <c r="E56" t="s">
        <v>9</v>
      </c>
      <c r="F56" s="1">
        <f>_xlfn.XLOOKUP(F54,Product_AN!I5:I28,Product_AN!D5:D28,"-",1,1)</f>
        <v>240500</v>
      </c>
      <c r="G56" t="str">
        <f>IF(F55="ไม่พบสินค้า กรุณาติดต่อเรา","-","บาท")</f>
        <v>บาท</v>
      </c>
    </row>
    <row r="57" spans="4:8" x14ac:dyDescent="0.3">
      <c r="D57" s="6" t="str">
        <f>IF(F14&gt;500,"*ควรใช้ร่วมกับระบบเติมอากาศ เพื่อประสิทธิภาพการบำบัด","")</f>
        <v>*ควรใช้ร่วมกับระบบเติมอากาศ เพื่อประสิทธิภาพการบำบัด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7103-A10A-4BD9-97C3-8A65DE0AE031}">
  <dimension ref="B1:F36"/>
  <sheetViews>
    <sheetView topLeftCell="A10" zoomScale="115" zoomScaleNormal="115" workbookViewId="0">
      <selection activeCell="D16" sqref="D16"/>
    </sheetView>
  </sheetViews>
  <sheetFormatPr defaultRowHeight="14.4" x14ac:dyDescent="0.3"/>
  <cols>
    <col min="1" max="1" width="2.6640625" customWidth="1"/>
    <col min="2" max="2" width="35.21875" bestFit="1" customWidth="1"/>
    <col min="3" max="3" width="13.109375" customWidth="1"/>
    <col min="4" max="5" width="15.5546875" customWidth="1"/>
    <col min="6" max="6" width="27.88671875" bestFit="1" customWidth="1"/>
    <col min="7" max="7" width="16.6640625" bestFit="1" customWidth="1"/>
  </cols>
  <sheetData>
    <row r="1" spans="2:6" ht="15" thickBot="1" x14ac:dyDescent="0.35"/>
    <row r="2" spans="2:6" x14ac:dyDescent="0.3">
      <c r="B2" s="72" t="s">
        <v>7</v>
      </c>
      <c r="C2" t="s">
        <v>6</v>
      </c>
      <c r="D2" t="s">
        <v>8</v>
      </c>
      <c r="E2" t="s">
        <v>0</v>
      </c>
      <c r="F2" t="s">
        <v>98</v>
      </c>
    </row>
    <row r="3" spans="2:6" x14ac:dyDescent="0.3">
      <c r="B3" s="73" t="s">
        <v>199</v>
      </c>
      <c r="C3" s="71" t="s">
        <v>1</v>
      </c>
      <c r="D3">
        <v>450</v>
      </c>
      <c r="E3">
        <v>175</v>
      </c>
      <c r="F3" t="s">
        <v>228</v>
      </c>
    </row>
    <row r="4" spans="2:6" x14ac:dyDescent="0.3">
      <c r="B4" s="73" t="s">
        <v>202</v>
      </c>
      <c r="C4" s="71" t="s">
        <v>1</v>
      </c>
      <c r="D4">
        <v>25</v>
      </c>
      <c r="E4">
        <v>224</v>
      </c>
      <c r="F4" t="s">
        <v>228</v>
      </c>
    </row>
    <row r="5" spans="2:6" x14ac:dyDescent="0.3">
      <c r="B5" s="73" t="s">
        <v>200</v>
      </c>
      <c r="C5" s="71" t="s">
        <v>3</v>
      </c>
      <c r="D5">
        <v>600</v>
      </c>
      <c r="E5">
        <v>175</v>
      </c>
      <c r="F5" t="s">
        <v>228</v>
      </c>
    </row>
    <row r="6" spans="2:6" x14ac:dyDescent="0.3">
      <c r="B6" s="73" t="s">
        <v>201</v>
      </c>
      <c r="C6" s="71" t="s">
        <v>1</v>
      </c>
      <c r="D6">
        <v>50</v>
      </c>
      <c r="E6">
        <v>224</v>
      </c>
      <c r="F6" t="s">
        <v>228</v>
      </c>
    </row>
    <row r="7" spans="2:6" x14ac:dyDescent="0.3">
      <c r="B7" s="73" t="s">
        <v>203</v>
      </c>
      <c r="C7" s="71" t="s">
        <v>2</v>
      </c>
      <c r="D7">
        <v>1000</v>
      </c>
      <c r="E7">
        <v>175</v>
      </c>
      <c r="F7" t="s">
        <v>228</v>
      </c>
    </row>
    <row r="8" spans="2:6" x14ac:dyDescent="0.3">
      <c r="B8" s="73" t="s">
        <v>204</v>
      </c>
      <c r="C8" s="71" t="s">
        <v>1</v>
      </c>
      <c r="D8">
        <v>150</v>
      </c>
      <c r="E8">
        <v>224</v>
      </c>
      <c r="F8" t="s">
        <v>228</v>
      </c>
    </row>
    <row r="9" spans="2:6" x14ac:dyDescent="0.3">
      <c r="B9" s="73" t="s">
        <v>205</v>
      </c>
      <c r="C9" s="71" t="s">
        <v>1</v>
      </c>
      <c r="D9">
        <v>60</v>
      </c>
      <c r="E9">
        <v>588</v>
      </c>
      <c r="F9" t="s">
        <v>227</v>
      </c>
    </row>
    <row r="10" spans="2:6" x14ac:dyDescent="0.3">
      <c r="B10" s="73" t="s">
        <v>49</v>
      </c>
      <c r="C10" s="71" t="s">
        <v>50</v>
      </c>
      <c r="D10">
        <v>11.4</v>
      </c>
      <c r="E10">
        <v>588</v>
      </c>
      <c r="F10" t="s">
        <v>227</v>
      </c>
    </row>
    <row r="11" spans="2:6" x14ac:dyDescent="0.3">
      <c r="B11" s="73" t="s">
        <v>206</v>
      </c>
      <c r="C11" s="71" t="s">
        <v>50</v>
      </c>
      <c r="D11">
        <v>70</v>
      </c>
      <c r="E11">
        <v>588</v>
      </c>
      <c r="F11" t="s">
        <v>227</v>
      </c>
    </row>
    <row r="12" spans="2:6" x14ac:dyDescent="0.3">
      <c r="B12" s="73" t="s">
        <v>207</v>
      </c>
      <c r="C12" s="71" t="s">
        <v>1</v>
      </c>
      <c r="D12">
        <v>200</v>
      </c>
      <c r="E12">
        <v>175</v>
      </c>
      <c r="F12" t="s">
        <v>228</v>
      </c>
    </row>
    <row r="13" spans="2:6" x14ac:dyDescent="0.3">
      <c r="B13" s="73" t="s">
        <v>208</v>
      </c>
      <c r="C13" s="71" t="s">
        <v>1</v>
      </c>
      <c r="D13">
        <v>50</v>
      </c>
      <c r="E13">
        <v>588</v>
      </c>
      <c r="F13" t="s">
        <v>227</v>
      </c>
    </row>
    <row r="14" spans="2:6" x14ac:dyDescent="0.3">
      <c r="B14" s="73" t="s">
        <v>209</v>
      </c>
      <c r="C14" s="71" t="s">
        <v>50</v>
      </c>
      <c r="D14">
        <v>25</v>
      </c>
      <c r="E14">
        <v>588</v>
      </c>
      <c r="F14" t="s">
        <v>227</v>
      </c>
    </row>
    <row r="15" spans="2:6" x14ac:dyDescent="0.3">
      <c r="B15" s="73" t="s">
        <v>221</v>
      </c>
      <c r="C15" s="71" t="s">
        <v>1</v>
      </c>
      <c r="D15">
        <v>50</v>
      </c>
      <c r="E15">
        <v>224</v>
      </c>
      <c r="F15" t="s">
        <v>228</v>
      </c>
    </row>
    <row r="16" spans="2:6" x14ac:dyDescent="0.3">
      <c r="B16" s="73" t="s">
        <v>210</v>
      </c>
      <c r="C16" s="71" t="s">
        <v>1</v>
      </c>
      <c r="D16">
        <v>50</v>
      </c>
      <c r="E16">
        <v>588</v>
      </c>
      <c r="F16" t="s">
        <v>227</v>
      </c>
    </row>
    <row r="17" spans="2:6" x14ac:dyDescent="0.3">
      <c r="B17" s="73" t="s">
        <v>211</v>
      </c>
      <c r="C17" s="71" t="s">
        <v>1</v>
      </c>
      <c r="D17">
        <v>220</v>
      </c>
      <c r="E17">
        <v>175</v>
      </c>
      <c r="F17" t="s">
        <v>228</v>
      </c>
    </row>
    <row r="18" spans="2:6" x14ac:dyDescent="0.3">
      <c r="B18" s="73" t="s">
        <v>138</v>
      </c>
      <c r="C18" s="71" t="s">
        <v>50</v>
      </c>
      <c r="D18">
        <v>25</v>
      </c>
      <c r="E18">
        <v>588</v>
      </c>
      <c r="F18" t="s">
        <v>227</v>
      </c>
    </row>
    <row r="19" spans="2:6" x14ac:dyDescent="0.3">
      <c r="B19" s="73" t="s">
        <v>212</v>
      </c>
      <c r="C19" s="71" t="s">
        <v>137</v>
      </c>
      <c r="D19">
        <v>300</v>
      </c>
      <c r="E19">
        <v>175</v>
      </c>
      <c r="F19" t="s">
        <v>228</v>
      </c>
    </row>
    <row r="20" spans="2:6" x14ac:dyDescent="0.3">
      <c r="B20" s="73" t="s">
        <v>213</v>
      </c>
      <c r="C20" s="71" t="s">
        <v>1</v>
      </c>
      <c r="D20">
        <v>100</v>
      </c>
      <c r="E20">
        <v>175</v>
      </c>
      <c r="F20" t="s">
        <v>228</v>
      </c>
    </row>
    <row r="21" spans="2:6" x14ac:dyDescent="0.3">
      <c r="B21" s="73" t="s">
        <v>214</v>
      </c>
      <c r="C21" s="71" t="s">
        <v>1</v>
      </c>
      <c r="D21">
        <v>100</v>
      </c>
      <c r="E21">
        <v>175</v>
      </c>
      <c r="F21" t="s">
        <v>228</v>
      </c>
    </row>
    <row r="22" spans="2:6" x14ac:dyDescent="0.3">
      <c r="B22" s="73" t="s">
        <v>215</v>
      </c>
      <c r="C22" s="71" t="s">
        <v>1</v>
      </c>
      <c r="D22">
        <v>350</v>
      </c>
      <c r="E22">
        <v>175</v>
      </c>
      <c r="F22" t="s">
        <v>228</v>
      </c>
    </row>
    <row r="23" spans="2:6" x14ac:dyDescent="0.3">
      <c r="B23" s="73" t="s">
        <v>216</v>
      </c>
      <c r="C23" s="71" t="s">
        <v>5</v>
      </c>
      <c r="D23">
        <v>40</v>
      </c>
      <c r="E23">
        <v>175</v>
      </c>
      <c r="F23" t="s">
        <v>228</v>
      </c>
    </row>
    <row r="24" spans="2:6" x14ac:dyDescent="0.3">
      <c r="B24" s="73" t="s">
        <v>217</v>
      </c>
      <c r="C24" s="71" t="s">
        <v>1</v>
      </c>
      <c r="D24">
        <v>15</v>
      </c>
      <c r="E24">
        <v>175</v>
      </c>
      <c r="F24" t="s">
        <v>228</v>
      </c>
    </row>
    <row r="25" spans="2:6" x14ac:dyDescent="0.3">
      <c r="B25" s="73" t="s">
        <v>218</v>
      </c>
      <c r="C25" s="71" t="s">
        <v>51</v>
      </c>
      <c r="D25">
        <v>30</v>
      </c>
      <c r="E25">
        <v>175</v>
      </c>
      <c r="F25" t="s">
        <v>228</v>
      </c>
    </row>
    <row r="26" spans="2:6" x14ac:dyDescent="0.3">
      <c r="B26" s="73" t="s">
        <v>220</v>
      </c>
      <c r="C26" s="71" t="s">
        <v>1</v>
      </c>
      <c r="D26">
        <v>70</v>
      </c>
      <c r="E26">
        <v>224</v>
      </c>
      <c r="F26" t="s">
        <v>228</v>
      </c>
    </row>
    <row r="27" spans="2:6" x14ac:dyDescent="0.3">
      <c r="B27" s="73" t="s">
        <v>225</v>
      </c>
      <c r="C27" s="71" t="s">
        <v>50</v>
      </c>
      <c r="D27">
        <v>5</v>
      </c>
      <c r="E27">
        <v>224</v>
      </c>
      <c r="F27" t="s">
        <v>228</v>
      </c>
    </row>
    <row r="28" spans="2:6" x14ac:dyDescent="0.3">
      <c r="B28" s="73" t="s">
        <v>219</v>
      </c>
      <c r="C28" s="71" t="s">
        <v>1</v>
      </c>
      <c r="D28">
        <v>50</v>
      </c>
      <c r="E28">
        <v>224</v>
      </c>
      <c r="F28" t="s">
        <v>228</v>
      </c>
    </row>
    <row r="29" spans="2:6" x14ac:dyDescent="0.3">
      <c r="B29" s="73" t="s">
        <v>222</v>
      </c>
      <c r="C29" s="71" t="s">
        <v>4</v>
      </c>
      <c r="D29">
        <v>10</v>
      </c>
      <c r="E29">
        <v>224</v>
      </c>
      <c r="F29" t="s">
        <v>228</v>
      </c>
    </row>
    <row r="30" spans="2:6" x14ac:dyDescent="0.3">
      <c r="B30" s="73" t="s">
        <v>223</v>
      </c>
      <c r="C30" s="71" t="s">
        <v>1</v>
      </c>
      <c r="D30">
        <v>200</v>
      </c>
      <c r="E30">
        <v>175</v>
      </c>
      <c r="F30" t="s">
        <v>228</v>
      </c>
    </row>
    <row r="31" spans="2:6" x14ac:dyDescent="0.3">
      <c r="B31" s="73" t="s">
        <v>224</v>
      </c>
      <c r="C31" s="71" t="s">
        <v>50</v>
      </c>
      <c r="D31">
        <v>8</v>
      </c>
      <c r="E31">
        <v>224</v>
      </c>
      <c r="F31" t="s">
        <v>228</v>
      </c>
    </row>
    <row r="32" spans="2:6" x14ac:dyDescent="0.3">
      <c r="B32" s="59"/>
    </row>
    <row r="33" spans="2:2" x14ac:dyDescent="0.3">
      <c r="B33" s="59"/>
    </row>
    <row r="34" spans="2:2" x14ac:dyDescent="0.3">
      <c r="B34" s="59"/>
    </row>
    <row r="35" spans="2:2" x14ac:dyDescent="0.3">
      <c r="B35" s="59"/>
    </row>
    <row r="36" spans="2:2" x14ac:dyDescent="0.3">
      <c r="B36" s="59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87C0-99A1-4AEA-A1E3-6D618448694F}">
  <dimension ref="A2:N30"/>
  <sheetViews>
    <sheetView tabSelected="1" zoomScaleNormal="100" workbookViewId="0">
      <selection activeCell="J30" sqref="J30"/>
    </sheetView>
  </sheetViews>
  <sheetFormatPr defaultRowHeight="14.4" x14ac:dyDescent="0.3"/>
  <cols>
    <col min="1" max="1" width="13.21875" bestFit="1" customWidth="1"/>
    <col min="2" max="2" width="6.21875" bestFit="1" customWidth="1"/>
    <col min="3" max="3" width="9.5546875" bestFit="1" customWidth="1"/>
    <col min="4" max="4" width="10.21875" bestFit="1" customWidth="1"/>
    <col min="5" max="5" width="7.6640625" bestFit="1" customWidth="1"/>
    <col min="6" max="6" width="13.5546875" customWidth="1"/>
    <col min="7" max="7" width="9.109375" bestFit="1" customWidth="1"/>
    <col min="8" max="9" width="10" bestFit="1" customWidth="1"/>
    <col min="10" max="10" width="11" bestFit="1" customWidth="1"/>
    <col min="11" max="11" width="8.21875" bestFit="1" customWidth="1"/>
  </cols>
  <sheetData>
    <row r="2" spans="1:14" x14ac:dyDescent="0.3">
      <c r="B2" t="s">
        <v>23</v>
      </c>
      <c r="C2" s="38" t="s">
        <v>9</v>
      </c>
      <c r="D2" s="39" t="str">
        <f>"10 - 42"</f>
        <v>10 - 42</v>
      </c>
    </row>
    <row r="3" spans="1:14" ht="15" thickBot="1" x14ac:dyDescent="0.35"/>
    <row r="4" spans="1:14" ht="16.8" thickBot="1" x14ac:dyDescent="0.35">
      <c r="B4" s="7" t="s">
        <v>16</v>
      </c>
      <c r="C4" s="8" t="s">
        <v>17</v>
      </c>
      <c r="D4" s="8" t="s">
        <v>18</v>
      </c>
      <c r="E4" s="8" t="s">
        <v>146</v>
      </c>
      <c r="F4" s="8" t="s">
        <v>145</v>
      </c>
      <c r="G4" s="8" t="s">
        <v>19</v>
      </c>
      <c r="H4" s="8" t="s">
        <v>20</v>
      </c>
      <c r="I4" s="8" t="s">
        <v>21</v>
      </c>
      <c r="J4" s="9" t="s">
        <v>22</v>
      </c>
      <c r="K4" s="77" t="s">
        <v>52</v>
      </c>
      <c r="M4" s="90" t="s">
        <v>81</v>
      </c>
      <c r="N4" s="90" t="s">
        <v>82</v>
      </c>
    </row>
    <row r="5" spans="1:14" x14ac:dyDescent="0.3">
      <c r="A5" s="6" t="s">
        <v>141</v>
      </c>
      <c r="B5" s="55">
        <v>1.25</v>
      </c>
      <c r="C5" s="49" t="s">
        <v>102</v>
      </c>
      <c r="D5" s="50">
        <v>30800</v>
      </c>
      <c r="E5" s="51"/>
      <c r="F5" s="51"/>
      <c r="G5" s="51">
        <v>1.25</v>
      </c>
      <c r="H5" s="119"/>
      <c r="I5" s="97">
        <f>B5*10/24</f>
        <v>0.52083333333333337</v>
      </c>
      <c r="J5" s="98"/>
      <c r="K5" s="95">
        <f>B5*0.25*2*0.7/14.112</f>
        <v>3.1001984126984128E-2</v>
      </c>
      <c r="L5" s="159"/>
      <c r="M5" t="s">
        <v>68</v>
      </c>
      <c r="N5">
        <v>1</v>
      </c>
    </row>
    <row r="6" spans="1:14" x14ac:dyDescent="0.3">
      <c r="B6" s="56">
        <v>1.6</v>
      </c>
      <c r="C6" s="52" t="s">
        <v>103</v>
      </c>
      <c r="D6" s="53">
        <v>36800</v>
      </c>
      <c r="E6" s="54"/>
      <c r="F6" s="54"/>
      <c r="G6" s="54">
        <v>1.6</v>
      </c>
      <c r="H6" s="120"/>
      <c r="I6" s="94">
        <f t="shared" ref="I6:I30" si="0">B6*10/24</f>
        <v>0.66666666666666663</v>
      </c>
      <c r="J6" s="99"/>
      <c r="K6" s="95">
        <f t="shared" ref="K6:K30" si="1">B6*0.25*2*0.7/14.112</f>
        <v>3.968253968253968E-2</v>
      </c>
      <c r="L6" s="160"/>
      <c r="M6" t="s">
        <v>68</v>
      </c>
      <c r="N6">
        <v>1</v>
      </c>
    </row>
    <row r="7" spans="1:14" x14ac:dyDescent="0.3">
      <c r="B7" s="56">
        <v>1.9</v>
      </c>
      <c r="C7" s="52" t="s">
        <v>104</v>
      </c>
      <c r="D7" s="53">
        <v>50000</v>
      </c>
      <c r="E7" s="54"/>
      <c r="F7" s="54"/>
      <c r="G7" s="54">
        <v>1.9</v>
      </c>
      <c r="H7" s="120"/>
      <c r="I7" s="94">
        <f t="shared" si="0"/>
        <v>0.79166666666666663</v>
      </c>
      <c r="J7" s="99"/>
      <c r="K7" s="95">
        <f t="shared" si="1"/>
        <v>4.7123015873015865E-2</v>
      </c>
      <c r="L7" s="160"/>
      <c r="M7" t="s">
        <v>70</v>
      </c>
      <c r="N7">
        <v>1</v>
      </c>
    </row>
    <row r="8" spans="1:14" x14ac:dyDescent="0.3">
      <c r="B8" s="56">
        <v>2.34</v>
      </c>
      <c r="C8" s="52" t="s">
        <v>105</v>
      </c>
      <c r="D8" s="53">
        <v>52500</v>
      </c>
      <c r="E8" s="54"/>
      <c r="F8" s="54"/>
      <c r="G8" s="54">
        <v>2.34</v>
      </c>
      <c r="H8" s="120"/>
      <c r="I8" s="94">
        <f t="shared" si="0"/>
        <v>0.97499999999999998</v>
      </c>
      <c r="J8" s="99"/>
      <c r="K8" s="95">
        <f t="shared" si="1"/>
        <v>5.8035714285714281E-2</v>
      </c>
      <c r="L8" s="160"/>
      <c r="M8" t="s">
        <v>71</v>
      </c>
      <c r="N8">
        <v>1</v>
      </c>
    </row>
    <row r="9" spans="1:14" x14ac:dyDescent="0.3">
      <c r="B9" s="56">
        <v>3.44</v>
      </c>
      <c r="C9" s="52" t="s">
        <v>106</v>
      </c>
      <c r="D9" s="53">
        <v>65000</v>
      </c>
      <c r="E9" s="54"/>
      <c r="F9" s="54"/>
      <c r="G9" s="54">
        <v>3.44</v>
      </c>
      <c r="H9" s="120"/>
      <c r="I9" s="94">
        <f t="shared" si="0"/>
        <v>1.4333333333333333</v>
      </c>
      <c r="J9" s="99"/>
      <c r="K9" s="95">
        <f t="shared" si="1"/>
        <v>8.531746031746032E-2</v>
      </c>
      <c r="L9" s="160"/>
      <c r="M9" t="s">
        <v>72</v>
      </c>
      <c r="N9">
        <v>1</v>
      </c>
    </row>
    <row r="10" spans="1:14" x14ac:dyDescent="0.3">
      <c r="B10" s="56">
        <v>4.45</v>
      </c>
      <c r="C10" s="52" t="s">
        <v>109</v>
      </c>
      <c r="D10" s="53">
        <v>96500</v>
      </c>
      <c r="E10" s="54"/>
      <c r="F10" s="54"/>
      <c r="G10" s="54">
        <v>4.45</v>
      </c>
      <c r="H10" s="120"/>
      <c r="I10" s="94">
        <f t="shared" si="0"/>
        <v>1.8541666666666667</v>
      </c>
      <c r="J10" s="99"/>
      <c r="K10" s="95">
        <f t="shared" si="1"/>
        <v>0.11036706349206349</v>
      </c>
      <c r="L10" s="160"/>
      <c r="M10" t="s">
        <v>73</v>
      </c>
      <c r="N10">
        <v>1</v>
      </c>
    </row>
    <row r="11" spans="1:14" x14ac:dyDescent="0.3">
      <c r="B11" s="56">
        <v>5.46</v>
      </c>
      <c r="C11" s="52" t="s">
        <v>108</v>
      </c>
      <c r="D11" s="53">
        <v>104000</v>
      </c>
      <c r="E11" s="54"/>
      <c r="F11" s="54"/>
      <c r="G11" s="54">
        <v>5.46</v>
      </c>
      <c r="H11" s="120"/>
      <c r="I11" s="94">
        <f t="shared" si="0"/>
        <v>2.2749999999999999</v>
      </c>
      <c r="J11" s="99"/>
      <c r="K11" s="95">
        <f t="shared" si="1"/>
        <v>0.13541666666666666</v>
      </c>
      <c r="L11" s="160"/>
      <c r="M11" t="s">
        <v>74</v>
      </c>
      <c r="N11">
        <v>1</v>
      </c>
    </row>
    <row r="12" spans="1:14" x14ac:dyDescent="0.3">
      <c r="B12" s="56">
        <f>G12</f>
        <v>6.47</v>
      </c>
      <c r="C12" s="52" t="s">
        <v>110</v>
      </c>
      <c r="D12" s="53">
        <v>136500</v>
      </c>
      <c r="E12" s="54"/>
      <c r="F12" s="54"/>
      <c r="G12" s="54">
        <v>6.47</v>
      </c>
      <c r="H12" s="120"/>
      <c r="I12" s="94">
        <f t="shared" si="0"/>
        <v>2.6958333333333333</v>
      </c>
      <c r="J12" s="99"/>
      <c r="K12" s="95">
        <f t="shared" si="1"/>
        <v>0.16046626984126983</v>
      </c>
      <c r="L12" s="160"/>
      <c r="M12" t="s">
        <v>75</v>
      </c>
      <c r="N12">
        <v>1</v>
      </c>
    </row>
    <row r="13" spans="1:14" x14ac:dyDescent="0.3">
      <c r="B13" s="56">
        <f t="shared" ref="B13:B20" si="2">G13</f>
        <v>7.48</v>
      </c>
      <c r="C13" s="52" t="s">
        <v>111</v>
      </c>
      <c r="D13" s="53">
        <v>144500</v>
      </c>
      <c r="E13" s="54"/>
      <c r="F13" s="54"/>
      <c r="G13" s="54">
        <v>7.48</v>
      </c>
      <c r="H13" s="120"/>
      <c r="I13" s="94">
        <f t="shared" si="0"/>
        <v>3.1166666666666671</v>
      </c>
      <c r="J13" s="99"/>
      <c r="K13" s="95">
        <f t="shared" si="1"/>
        <v>0.185515873015873</v>
      </c>
      <c r="L13" s="160"/>
      <c r="M13" t="s">
        <v>75</v>
      </c>
      <c r="N13">
        <v>1</v>
      </c>
    </row>
    <row r="14" spans="1:14" x14ac:dyDescent="0.3">
      <c r="B14" s="56">
        <f t="shared" si="2"/>
        <v>8.49</v>
      </c>
      <c r="C14" s="52" t="s">
        <v>112</v>
      </c>
      <c r="D14" s="53">
        <v>146500</v>
      </c>
      <c r="E14" s="54"/>
      <c r="F14" s="54"/>
      <c r="G14" s="54">
        <v>8.49</v>
      </c>
      <c r="H14" s="120"/>
      <c r="I14" s="94">
        <f t="shared" si="0"/>
        <v>3.5375000000000001</v>
      </c>
      <c r="J14" s="99"/>
      <c r="K14" s="95">
        <f t="shared" si="1"/>
        <v>0.21056547619047616</v>
      </c>
      <c r="L14" s="160"/>
      <c r="M14" t="s">
        <v>73</v>
      </c>
      <c r="N14">
        <v>2</v>
      </c>
    </row>
    <row r="15" spans="1:14" x14ac:dyDescent="0.3">
      <c r="B15" s="56">
        <f t="shared" si="2"/>
        <v>9.5</v>
      </c>
      <c r="C15" s="52" t="s">
        <v>113</v>
      </c>
      <c r="D15" s="53">
        <v>177500</v>
      </c>
      <c r="E15" s="54"/>
      <c r="F15" s="54"/>
      <c r="G15" s="54">
        <v>9.5</v>
      </c>
      <c r="H15" s="120"/>
      <c r="I15" s="94">
        <f t="shared" si="0"/>
        <v>3.9583333333333335</v>
      </c>
      <c r="J15" s="99"/>
      <c r="K15" s="95">
        <f t="shared" si="1"/>
        <v>0.23561507936507933</v>
      </c>
      <c r="L15" s="160"/>
      <c r="M15" t="s">
        <v>73</v>
      </c>
      <c r="N15">
        <v>2</v>
      </c>
    </row>
    <row r="16" spans="1:14" x14ac:dyDescent="0.3">
      <c r="B16" s="56">
        <f t="shared" si="2"/>
        <v>10.51</v>
      </c>
      <c r="C16" s="52" t="s">
        <v>114</v>
      </c>
      <c r="D16" s="53">
        <v>182000</v>
      </c>
      <c r="E16" s="54"/>
      <c r="F16" s="54"/>
      <c r="G16" s="54">
        <v>10.51</v>
      </c>
      <c r="H16" s="120"/>
      <c r="I16" s="94">
        <f t="shared" si="0"/>
        <v>4.3791666666666664</v>
      </c>
      <c r="J16" s="99"/>
      <c r="K16" s="95">
        <f t="shared" si="1"/>
        <v>0.2606646825396825</v>
      </c>
      <c r="L16" s="160"/>
      <c r="M16" t="s">
        <v>74</v>
      </c>
      <c r="N16">
        <v>2</v>
      </c>
    </row>
    <row r="17" spans="1:14" x14ac:dyDescent="0.3">
      <c r="B17" s="56">
        <f t="shared" si="2"/>
        <v>11.52</v>
      </c>
      <c r="C17" s="52" t="s">
        <v>115</v>
      </c>
      <c r="D17" s="53">
        <v>233000</v>
      </c>
      <c r="E17" s="54"/>
      <c r="F17" s="54"/>
      <c r="G17" s="54">
        <v>11.52</v>
      </c>
      <c r="H17" s="120"/>
      <c r="I17" s="94">
        <f t="shared" si="0"/>
        <v>4.8</v>
      </c>
      <c r="J17" s="99"/>
      <c r="K17" s="95">
        <f t="shared" si="1"/>
        <v>0.2857142857142857</v>
      </c>
      <c r="L17" s="160"/>
      <c r="M17" t="s">
        <v>74</v>
      </c>
      <c r="N17">
        <v>2</v>
      </c>
    </row>
    <row r="18" spans="1:14" x14ac:dyDescent="0.3">
      <c r="B18" s="56">
        <f t="shared" si="2"/>
        <v>12.53</v>
      </c>
      <c r="C18" s="52" t="s">
        <v>116</v>
      </c>
      <c r="D18" s="53">
        <v>238500</v>
      </c>
      <c r="E18" s="54"/>
      <c r="F18" s="54"/>
      <c r="G18" s="54">
        <v>12.53</v>
      </c>
      <c r="H18" s="120"/>
      <c r="I18" s="94">
        <f t="shared" si="0"/>
        <v>5.2208333333333332</v>
      </c>
      <c r="J18" s="99"/>
      <c r="K18" s="95">
        <f t="shared" si="1"/>
        <v>0.31076388888888884</v>
      </c>
      <c r="L18" s="160"/>
      <c r="M18" t="s">
        <v>75</v>
      </c>
      <c r="N18">
        <v>2</v>
      </c>
    </row>
    <row r="19" spans="1:14" x14ac:dyDescent="0.3">
      <c r="B19" s="56">
        <f t="shared" si="2"/>
        <v>13.54</v>
      </c>
      <c r="C19" s="52" t="s">
        <v>119</v>
      </c>
      <c r="D19" s="53">
        <v>248000</v>
      </c>
      <c r="E19" s="54"/>
      <c r="F19" s="54"/>
      <c r="G19" s="54">
        <v>13.54</v>
      </c>
      <c r="H19" s="120"/>
      <c r="I19" s="94">
        <f t="shared" si="0"/>
        <v>5.6416666666666657</v>
      </c>
      <c r="J19" s="99"/>
      <c r="K19" s="95">
        <f t="shared" si="1"/>
        <v>0.33581349206349198</v>
      </c>
      <c r="L19" s="160"/>
      <c r="M19" t="s">
        <v>75</v>
      </c>
      <c r="N19">
        <v>2</v>
      </c>
    </row>
    <row r="20" spans="1:14" x14ac:dyDescent="0.3">
      <c r="B20" s="56">
        <f t="shared" si="2"/>
        <v>14.54</v>
      </c>
      <c r="C20" s="52" t="s">
        <v>120</v>
      </c>
      <c r="D20" s="53">
        <v>255500</v>
      </c>
      <c r="E20" s="54"/>
      <c r="F20" s="54"/>
      <c r="G20" s="54">
        <v>14.54</v>
      </c>
      <c r="H20" s="120"/>
      <c r="I20" s="94">
        <f t="shared" si="0"/>
        <v>6.0583333333333327</v>
      </c>
      <c r="J20" s="99"/>
      <c r="K20" s="95">
        <f t="shared" si="1"/>
        <v>0.36061507936507931</v>
      </c>
      <c r="L20" s="160"/>
      <c r="M20" t="s">
        <v>75</v>
      </c>
      <c r="N20">
        <v>2</v>
      </c>
    </row>
    <row r="21" spans="1:14" ht="15" thickBot="1" x14ac:dyDescent="0.35">
      <c r="B21" s="100">
        <f>G21</f>
        <v>15.55</v>
      </c>
      <c r="C21" s="101" t="s">
        <v>121</v>
      </c>
      <c r="D21" s="102">
        <v>259500</v>
      </c>
      <c r="E21" s="103"/>
      <c r="F21" s="103"/>
      <c r="G21" s="103">
        <v>15.55</v>
      </c>
      <c r="H21" s="121"/>
      <c r="I21" s="103">
        <f t="shared" si="0"/>
        <v>6.479166666666667</v>
      </c>
      <c r="J21" s="105"/>
      <c r="K21" s="95">
        <f t="shared" si="1"/>
        <v>0.3856646825396825</v>
      </c>
      <c r="L21" s="161"/>
      <c r="M21" t="s">
        <v>75</v>
      </c>
      <c r="N21">
        <v>2</v>
      </c>
    </row>
    <row r="22" spans="1:14" x14ac:dyDescent="0.3">
      <c r="A22" s="6" t="s">
        <v>144</v>
      </c>
      <c r="B22" s="28">
        <v>18</v>
      </c>
      <c r="C22" s="29" t="str">
        <f t="shared" ref="C22" si="3">"PS-20"&amp;B22&amp;"AZ"</f>
        <v>PS-2018AZ</v>
      </c>
      <c r="D22" s="137">
        <v>347200</v>
      </c>
      <c r="E22" s="31">
        <v>2</v>
      </c>
      <c r="F22" s="31">
        <v>6.9</v>
      </c>
      <c r="G22" s="31">
        <f>+H22+I22</f>
        <v>19.757000000000001</v>
      </c>
      <c r="H22" s="31">
        <v>11.515000000000001</v>
      </c>
      <c r="I22" s="31">
        <v>8.2420000000000009</v>
      </c>
      <c r="J22" s="32">
        <v>2.2999999999999998</v>
      </c>
      <c r="K22" s="95">
        <f t="shared" si="1"/>
        <v>0.4464285714285714</v>
      </c>
      <c r="M22" t="s">
        <v>75</v>
      </c>
      <c r="N22">
        <v>2</v>
      </c>
    </row>
    <row r="23" spans="1:14" ht="15" thickBot="1" x14ac:dyDescent="0.35">
      <c r="B23" s="28">
        <v>20</v>
      </c>
      <c r="C23" s="29" t="str">
        <f>"PS-20"&amp;B23&amp;"AZ"</f>
        <v>PS-2020AZ</v>
      </c>
      <c r="D23" s="137">
        <v>367400</v>
      </c>
      <c r="E23" s="31">
        <v>2</v>
      </c>
      <c r="F23" s="31">
        <v>7.6</v>
      </c>
      <c r="G23" s="31">
        <f>+H23+I23</f>
        <v>20.776</v>
      </c>
      <c r="H23" s="31">
        <v>11.68</v>
      </c>
      <c r="I23" s="31">
        <v>9.0960000000000001</v>
      </c>
      <c r="J23" s="32">
        <v>2.5499999999999998</v>
      </c>
      <c r="K23" s="95">
        <f t="shared" si="1"/>
        <v>0.49603174603174605</v>
      </c>
      <c r="M23" t="s">
        <v>75</v>
      </c>
      <c r="N23">
        <v>3</v>
      </c>
    </row>
    <row r="24" spans="1:14" x14ac:dyDescent="0.3">
      <c r="B24" s="167">
        <v>25</v>
      </c>
      <c r="C24" s="168" t="s">
        <v>238</v>
      </c>
      <c r="D24" s="169">
        <v>461400</v>
      </c>
      <c r="E24" s="166">
        <v>2.5</v>
      </c>
      <c r="F24" s="166">
        <v>6.1</v>
      </c>
      <c r="G24" s="166">
        <f>+H24+I24</f>
        <v>27.042999999999999</v>
      </c>
      <c r="H24" s="166">
        <v>14.789</v>
      </c>
      <c r="I24" s="166">
        <v>12.254</v>
      </c>
      <c r="J24" s="170">
        <v>3.2</v>
      </c>
      <c r="K24" s="95">
        <f t="shared" si="1"/>
        <v>0.62003968253968256</v>
      </c>
      <c r="M24" t="s">
        <v>83</v>
      </c>
      <c r="N24">
        <v>1</v>
      </c>
    </row>
    <row r="25" spans="1:14" x14ac:dyDescent="0.3">
      <c r="B25" s="12">
        <v>30</v>
      </c>
      <c r="C25" s="13" t="s">
        <v>239</v>
      </c>
      <c r="D25" s="139">
        <v>516000</v>
      </c>
      <c r="E25" s="15">
        <v>2.5</v>
      </c>
      <c r="F25" s="15">
        <v>7.15</v>
      </c>
      <c r="G25" s="15">
        <f t="shared" ref="G25:G30" si="4">+H25+I25</f>
        <v>31.808999999999997</v>
      </c>
      <c r="H25" s="15">
        <v>17.533999999999999</v>
      </c>
      <c r="I25" s="15">
        <v>14.275</v>
      </c>
      <c r="J25" s="16">
        <v>3.75</v>
      </c>
      <c r="K25" s="95">
        <f t="shared" ref="K25" si="5">B25*0.25*2*0.7/14.112</f>
        <v>0.74404761904761907</v>
      </c>
      <c r="M25" t="s">
        <v>83</v>
      </c>
      <c r="N25">
        <v>1</v>
      </c>
    </row>
    <row r="26" spans="1:14" x14ac:dyDescent="0.3">
      <c r="B26" s="17">
        <v>35</v>
      </c>
      <c r="C26" s="18" t="s">
        <v>240</v>
      </c>
      <c r="D26" s="163">
        <v>566600</v>
      </c>
      <c r="E26" s="164">
        <v>2.5</v>
      </c>
      <c r="F26" s="164">
        <v>8.25</v>
      </c>
      <c r="G26" s="171">
        <f t="shared" si="4"/>
        <v>36.804000000000002</v>
      </c>
      <c r="H26" s="164">
        <v>20.507999999999999</v>
      </c>
      <c r="I26" s="164">
        <v>16.295999999999999</v>
      </c>
      <c r="J26" s="165">
        <v>4.4000000000000004</v>
      </c>
      <c r="K26" s="95">
        <f t="shared" ref="K26" si="6">B26*0.25*2*0.7/14.112</f>
        <v>0.86805555555555558</v>
      </c>
      <c r="M26" t="s">
        <v>83</v>
      </c>
      <c r="N26">
        <v>1</v>
      </c>
    </row>
    <row r="27" spans="1:14" x14ac:dyDescent="0.3">
      <c r="B27" s="12">
        <v>40</v>
      </c>
      <c r="C27" s="13" t="s">
        <v>241</v>
      </c>
      <c r="D27" s="139">
        <v>658700</v>
      </c>
      <c r="E27" s="15">
        <v>2.5</v>
      </c>
      <c r="F27" s="15">
        <v>9.35</v>
      </c>
      <c r="G27" s="15">
        <f t="shared" si="4"/>
        <v>41.798000000000002</v>
      </c>
      <c r="H27" s="15">
        <v>23.481000000000002</v>
      </c>
      <c r="I27" s="15">
        <v>18.317</v>
      </c>
      <c r="J27" s="16">
        <v>5</v>
      </c>
      <c r="K27" s="95">
        <f t="shared" si="1"/>
        <v>0.99206349206349209</v>
      </c>
      <c r="M27" s="143" t="s">
        <v>195</v>
      </c>
      <c r="N27">
        <v>1</v>
      </c>
    </row>
    <row r="28" spans="1:14" x14ac:dyDescent="0.3">
      <c r="B28" s="12">
        <v>45</v>
      </c>
      <c r="C28" s="13" t="s">
        <v>242</v>
      </c>
      <c r="D28" s="139">
        <v>711600</v>
      </c>
      <c r="E28" s="15">
        <v>2.5</v>
      </c>
      <c r="F28" s="15">
        <v>10.5</v>
      </c>
      <c r="G28" s="15">
        <f t="shared" si="4"/>
        <v>47.016999999999996</v>
      </c>
      <c r="H28" s="15">
        <v>26.454999999999998</v>
      </c>
      <c r="I28" s="15">
        <v>20.562000000000001</v>
      </c>
      <c r="J28" s="16">
        <v>5.7</v>
      </c>
      <c r="K28" s="95">
        <f t="shared" si="1"/>
        <v>1.1160714285714284</v>
      </c>
      <c r="M28" s="143" t="s">
        <v>195</v>
      </c>
      <c r="N28">
        <v>1</v>
      </c>
    </row>
    <row r="29" spans="1:14" x14ac:dyDescent="0.3">
      <c r="B29" s="12">
        <v>50</v>
      </c>
      <c r="C29" s="13" t="s">
        <v>243</v>
      </c>
      <c r="D29" s="139">
        <v>761000</v>
      </c>
      <c r="E29" s="15">
        <v>2.5</v>
      </c>
      <c r="F29" s="15">
        <v>11.55</v>
      </c>
      <c r="G29" s="15">
        <f t="shared" si="4"/>
        <v>51.783000000000001</v>
      </c>
      <c r="H29" s="15">
        <v>29.2</v>
      </c>
      <c r="I29" s="15">
        <v>22.582999999999998</v>
      </c>
      <c r="J29" s="16">
        <v>6.25</v>
      </c>
      <c r="K29" s="95">
        <f t="shared" si="1"/>
        <v>1.2400793650793651</v>
      </c>
      <c r="M29" s="143" t="s">
        <v>195</v>
      </c>
      <c r="N29">
        <v>1</v>
      </c>
    </row>
    <row r="30" spans="1:14" ht="15" thickBot="1" x14ac:dyDescent="0.35">
      <c r="B30" s="20">
        <v>54</v>
      </c>
      <c r="C30" s="21" t="s">
        <v>244</v>
      </c>
      <c r="D30" s="140">
        <v>780800</v>
      </c>
      <c r="E30" s="23">
        <v>2.5</v>
      </c>
      <c r="F30" s="23">
        <v>12.05</v>
      </c>
      <c r="G30" s="23">
        <f t="shared" si="4"/>
        <v>54.070999999999998</v>
      </c>
      <c r="H30" s="23">
        <v>31.488</v>
      </c>
      <c r="I30" s="23">
        <v>22.582999999999998</v>
      </c>
      <c r="J30" s="24">
        <v>6.5</v>
      </c>
      <c r="K30" s="95">
        <f t="shared" si="1"/>
        <v>1.3392857142857142</v>
      </c>
      <c r="M30" s="143" t="s">
        <v>195</v>
      </c>
      <c r="N30">
        <v>1</v>
      </c>
    </row>
  </sheetData>
  <mergeCells count="1">
    <mergeCell ref="L5:L21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870E-87CB-4178-BFB6-19DCFD7B14B7}">
  <dimension ref="A2:J29"/>
  <sheetViews>
    <sheetView zoomScale="85" zoomScaleNormal="85" workbookViewId="0">
      <selection activeCell="J29" sqref="J29"/>
    </sheetView>
  </sheetViews>
  <sheetFormatPr defaultRowHeight="14.4" x14ac:dyDescent="0.3"/>
  <cols>
    <col min="1" max="1" width="12" bestFit="1" customWidth="1"/>
    <col min="6" max="6" width="5.5546875" bestFit="1" customWidth="1"/>
    <col min="7" max="7" width="9.109375" bestFit="1" customWidth="1"/>
    <col min="8" max="9" width="10" bestFit="1" customWidth="1"/>
    <col min="10" max="10" width="11" bestFit="1" customWidth="1"/>
  </cols>
  <sheetData>
    <row r="2" spans="1:10" x14ac:dyDescent="0.3">
      <c r="B2" t="s">
        <v>23</v>
      </c>
      <c r="C2" s="38" t="s">
        <v>9</v>
      </c>
      <c r="D2" t="s">
        <v>24</v>
      </c>
    </row>
    <row r="3" spans="1:10" ht="15" thickBot="1" x14ac:dyDescent="0.35"/>
    <row r="4" spans="1:10" ht="16.8" thickBot="1" x14ac:dyDescent="0.35">
      <c r="B4" s="10" t="s">
        <v>16</v>
      </c>
      <c r="C4" s="11" t="s">
        <v>17</v>
      </c>
      <c r="D4" s="11" t="s">
        <v>18</v>
      </c>
      <c r="E4" s="8" t="s">
        <v>146</v>
      </c>
      <c r="F4" s="11" t="s">
        <v>46</v>
      </c>
      <c r="G4" s="11" t="s">
        <v>19</v>
      </c>
      <c r="H4" s="8" t="s">
        <v>20</v>
      </c>
      <c r="I4" s="8" t="s">
        <v>21</v>
      </c>
      <c r="J4" s="9" t="s">
        <v>22</v>
      </c>
    </row>
    <row r="5" spans="1:10" x14ac:dyDescent="0.3">
      <c r="A5" s="144" t="s">
        <v>196</v>
      </c>
      <c r="B5" s="55">
        <v>0.8</v>
      </c>
      <c r="C5" s="49" t="s">
        <v>122</v>
      </c>
      <c r="D5" s="50">
        <v>15500</v>
      </c>
      <c r="E5" s="50"/>
      <c r="F5" s="51">
        <v>0</v>
      </c>
      <c r="G5" s="51">
        <v>1.25</v>
      </c>
      <c r="H5" s="96">
        <v>0</v>
      </c>
      <c r="I5" s="97">
        <f>B5/2</f>
        <v>0.4</v>
      </c>
      <c r="J5" s="98">
        <v>0</v>
      </c>
    </row>
    <row r="6" spans="1:10" x14ac:dyDescent="0.3">
      <c r="A6" s="6" t="s">
        <v>142</v>
      </c>
      <c r="B6" s="56">
        <v>1</v>
      </c>
      <c r="C6" s="52" t="s">
        <v>123</v>
      </c>
      <c r="D6" s="53">
        <v>22000</v>
      </c>
      <c r="E6" s="53"/>
      <c r="F6" s="54"/>
      <c r="G6" s="54">
        <v>1.6</v>
      </c>
      <c r="H6" s="81"/>
      <c r="I6" s="94">
        <f t="shared" ref="I6:I28" si="0">B6/2</f>
        <v>0.5</v>
      </c>
      <c r="J6" s="99"/>
    </row>
    <row r="7" spans="1:10" x14ac:dyDescent="0.3">
      <c r="B7" s="56">
        <v>1.2</v>
      </c>
      <c r="C7" s="52" t="s">
        <v>124</v>
      </c>
      <c r="D7" s="53">
        <v>25500</v>
      </c>
      <c r="E7" s="53"/>
      <c r="F7" s="54"/>
      <c r="G7" s="54">
        <v>1.9</v>
      </c>
      <c r="H7" s="81"/>
      <c r="I7" s="94">
        <f t="shared" si="0"/>
        <v>0.6</v>
      </c>
      <c r="J7" s="99"/>
    </row>
    <row r="8" spans="1:10" x14ac:dyDescent="0.3">
      <c r="B8" s="56">
        <v>1.56</v>
      </c>
      <c r="C8" s="52" t="s">
        <v>125</v>
      </c>
      <c r="D8" s="53">
        <v>26000</v>
      </c>
      <c r="E8" s="53"/>
      <c r="F8" s="54">
        <v>0</v>
      </c>
      <c r="G8" s="54">
        <v>2.34</v>
      </c>
      <c r="H8" s="81">
        <v>0</v>
      </c>
      <c r="I8" s="94">
        <f t="shared" si="0"/>
        <v>0.78</v>
      </c>
      <c r="J8" s="99">
        <v>0</v>
      </c>
    </row>
    <row r="9" spans="1:10" x14ac:dyDescent="0.3">
      <c r="B9" s="56">
        <v>2.25</v>
      </c>
      <c r="C9" s="52" t="s">
        <v>126</v>
      </c>
      <c r="D9" s="53">
        <v>27500</v>
      </c>
      <c r="E9" s="53"/>
      <c r="F9" s="54">
        <v>0</v>
      </c>
      <c r="G9" s="54">
        <v>3.44</v>
      </c>
      <c r="H9" s="81">
        <v>0</v>
      </c>
      <c r="I9" s="94">
        <f t="shared" si="0"/>
        <v>1.125</v>
      </c>
      <c r="J9" s="99">
        <v>0</v>
      </c>
    </row>
    <row r="10" spans="1:10" x14ac:dyDescent="0.3">
      <c r="B10" s="56">
        <v>2.9</v>
      </c>
      <c r="C10" s="52" t="s">
        <v>107</v>
      </c>
      <c r="D10" s="53">
        <v>45500</v>
      </c>
      <c r="E10" s="53"/>
      <c r="F10" s="54">
        <v>0</v>
      </c>
      <c r="G10" s="54">
        <v>4.45</v>
      </c>
      <c r="H10" s="81">
        <v>0</v>
      </c>
      <c r="I10" s="94">
        <f t="shared" si="0"/>
        <v>1.45</v>
      </c>
      <c r="J10" s="99">
        <v>0</v>
      </c>
    </row>
    <row r="11" spans="1:10" x14ac:dyDescent="0.3">
      <c r="B11" s="56">
        <v>3.6</v>
      </c>
      <c r="C11" s="52" t="s">
        <v>127</v>
      </c>
      <c r="D11" s="53">
        <v>53000</v>
      </c>
      <c r="E11" s="53"/>
      <c r="F11" s="54">
        <v>0</v>
      </c>
      <c r="G11" s="54">
        <v>5.46</v>
      </c>
      <c r="H11" s="81">
        <v>0</v>
      </c>
      <c r="I11" s="94">
        <f t="shared" si="0"/>
        <v>1.8</v>
      </c>
      <c r="J11" s="99">
        <v>0</v>
      </c>
    </row>
    <row r="12" spans="1:10" x14ac:dyDescent="0.3">
      <c r="B12" s="56">
        <v>4.3</v>
      </c>
      <c r="C12" s="52" t="s">
        <v>128</v>
      </c>
      <c r="D12" s="53">
        <v>62500</v>
      </c>
      <c r="E12" s="53"/>
      <c r="F12" s="54">
        <v>0</v>
      </c>
      <c r="G12" s="54">
        <v>6.47</v>
      </c>
      <c r="H12" s="81">
        <v>0</v>
      </c>
      <c r="I12" s="94">
        <f t="shared" si="0"/>
        <v>2.15</v>
      </c>
      <c r="J12" s="99">
        <v>0</v>
      </c>
    </row>
    <row r="13" spans="1:10" x14ac:dyDescent="0.3">
      <c r="B13" s="56">
        <v>5</v>
      </c>
      <c r="C13" s="52" t="s">
        <v>129</v>
      </c>
      <c r="D13" s="53">
        <v>68000</v>
      </c>
      <c r="E13" s="53"/>
      <c r="F13" s="54">
        <v>0</v>
      </c>
      <c r="G13" s="54">
        <v>7.48</v>
      </c>
      <c r="H13" s="81">
        <v>0</v>
      </c>
      <c r="I13" s="94">
        <f t="shared" si="0"/>
        <v>2.5</v>
      </c>
      <c r="J13" s="99">
        <v>0</v>
      </c>
    </row>
    <row r="14" spans="1:10" x14ac:dyDescent="0.3">
      <c r="B14" s="56">
        <v>5.6</v>
      </c>
      <c r="C14" s="52" t="s">
        <v>130</v>
      </c>
      <c r="D14" s="53">
        <v>75000</v>
      </c>
      <c r="E14" s="53"/>
      <c r="F14" s="54">
        <v>0</v>
      </c>
      <c r="G14" s="54">
        <v>8.49</v>
      </c>
      <c r="H14" s="81">
        <v>0</v>
      </c>
      <c r="I14" s="94">
        <f t="shared" si="0"/>
        <v>2.8</v>
      </c>
      <c r="J14" s="99">
        <v>0</v>
      </c>
    </row>
    <row r="15" spans="1:10" x14ac:dyDescent="0.3">
      <c r="B15" s="56">
        <v>6.3</v>
      </c>
      <c r="C15" s="52" t="s">
        <v>131</v>
      </c>
      <c r="D15" s="53">
        <v>79500</v>
      </c>
      <c r="E15" s="53"/>
      <c r="F15" s="54">
        <v>0</v>
      </c>
      <c r="G15" s="54">
        <v>9.5</v>
      </c>
      <c r="H15" s="81">
        <v>0</v>
      </c>
      <c r="I15" s="94">
        <f t="shared" si="0"/>
        <v>3.15</v>
      </c>
      <c r="J15" s="99">
        <v>0</v>
      </c>
    </row>
    <row r="16" spans="1:10" x14ac:dyDescent="0.3">
      <c r="B16" s="56">
        <v>7</v>
      </c>
      <c r="C16" s="52" t="s">
        <v>132</v>
      </c>
      <c r="D16" s="53">
        <v>83500</v>
      </c>
      <c r="E16" s="53"/>
      <c r="F16" s="54">
        <v>0</v>
      </c>
      <c r="G16" s="54">
        <v>10.51</v>
      </c>
      <c r="H16" s="81">
        <v>0</v>
      </c>
      <c r="I16" s="94">
        <f t="shared" si="0"/>
        <v>3.5</v>
      </c>
      <c r="J16" s="99">
        <v>0</v>
      </c>
    </row>
    <row r="17" spans="1:10" x14ac:dyDescent="0.3">
      <c r="B17" s="56">
        <v>7.6</v>
      </c>
      <c r="C17" s="52" t="s">
        <v>133</v>
      </c>
      <c r="D17" s="53">
        <v>92500</v>
      </c>
      <c r="E17" s="53"/>
      <c r="F17" s="54">
        <v>0</v>
      </c>
      <c r="G17" s="54">
        <v>11.52</v>
      </c>
      <c r="H17" s="81">
        <v>0</v>
      </c>
      <c r="I17" s="94">
        <f t="shared" si="0"/>
        <v>3.8</v>
      </c>
      <c r="J17" s="99">
        <v>0</v>
      </c>
    </row>
    <row r="18" spans="1:10" x14ac:dyDescent="0.3">
      <c r="B18" s="56">
        <v>8.3000000000000007</v>
      </c>
      <c r="C18" s="52" t="s">
        <v>134</v>
      </c>
      <c r="D18" s="53">
        <v>97500</v>
      </c>
      <c r="E18" s="53"/>
      <c r="F18" s="54">
        <v>0</v>
      </c>
      <c r="G18" s="54">
        <v>12.53</v>
      </c>
      <c r="H18" s="81">
        <v>0</v>
      </c>
      <c r="I18" s="94">
        <f t="shared" si="0"/>
        <v>4.1500000000000004</v>
      </c>
      <c r="J18" s="99">
        <v>0</v>
      </c>
    </row>
    <row r="19" spans="1:10" x14ac:dyDescent="0.3">
      <c r="B19" s="56">
        <v>9</v>
      </c>
      <c r="C19" s="52" t="s">
        <v>117</v>
      </c>
      <c r="D19" s="53">
        <v>105500</v>
      </c>
      <c r="E19" s="53"/>
      <c r="F19" s="54">
        <v>0</v>
      </c>
      <c r="G19" s="54">
        <v>13.54</v>
      </c>
      <c r="H19" s="81">
        <v>0</v>
      </c>
      <c r="I19" s="94">
        <f t="shared" si="0"/>
        <v>4.5</v>
      </c>
      <c r="J19" s="99">
        <v>0</v>
      </c>
    </row>
    <row r="20" spans="1:10" x14ac:dyDescent="0.3">
      <c r="B20" s="56">
        <v>9.6999999999999993</v>
      </c>
      <c r="C20" s="52" t="s">
        <v>118</v>
      </c>
      <c r="D20" s="53">
        <v>111500</v>
      </c>
      <c r="E20" s="53"/>
      <c r="F20" s="54">
        <v>0</v>
      </c>
      <c r="G20" s="54">
        <v>14.54</v>
      </c>
      <c r="H20" s="81">
        <v>0</v>
      </c>
      <c r="I20" s="94">
        <f t="shared" si="0"/>
        <v>4.8499999999999996</v>
      </c>
      <c r="J20" s="99">
        <v>0</v>
      </c>
    </row>
    <row r="21" spans="1:10" ht="15" thickBot="1" x14ac:dyDescent="0.35">
      <c r="A21" s="6"/>
      <c r="B21" s="100">
        <v>10.3</v>
      </c>
      <c r="C21" s="101" t="s">
        <v>135</v>
      </c>
      <c r="D21" s="102">
        <v>259500</v>
      </c>
      <c r="E21" s="102"/>
      <c r="F21" s="103">
        <v>0</v>
      </c>
      <c r="G21" s="103">
        <v>15.55</v>
      </c>
      <c r="H21" s="104">
        <v>0</v>
      </c>
      <c r="I21" s="103">
        <f t="shared" si="0"/>
        <v>5.15</v>
      </c>
      <c r="J21" s="105">
        <v>0</v>
      </c>
    </row>
    <row r="22" spans="1:10" x14ac:dyDescent="0.3">
      <c r="A22" s="144" t="s">
        <v>197</v>
      </c>
      <c r="B22" s="25">
        <v>12</v>
      </c>
      <c r="C22" s="26" t="s">
        <v>232</v>
      </c>
      <c r="D22" s="136">
        <v>240500</v>
      </c>
      <c r="E22" s="131">
        <v>2</v>
      </c>
      <c r="F22" s="122">
        <v>6.6</v>
      </c>
      <c r="G22" s="172">
        <f>+H22+I22</f>
        <v>18.036999999999999</v>
      </c>
      <c r="H22" s="122">
        <v>12.022</v>
      </c>
      <c r="I22" s="122">
        <v>6.0149999999999997</v>
      </c>
      <c r="J22" s="123">
        <v>2.6</v>
      </c>
    </row>
    <row r="23" spans="1:10" x14ac:dyDescent="0.3">
      <c r="A23" s="6" t="s">
        <v>147</v>
      </c>
      <c r="B23" s="128">
        <v>15</v>
      </c>
      <c r="C23" s="129" t="s">
        <v>231</v>
      </c>
      <c r="D23" s="138">
        <v>271600</v>
      </c>
      <c r="E23" s="133">
        <v>2</v>
      </c>
      <c r="F23" s="130">
        <v>8.1999999999999993</v>
      </c>
      <c r="G23" s="31">
        <f t="shared" ref="G23:G24" si="1">+H23+I23</f>
        <v>22.664000000000001</v>
      </c>
      <c r="H23" s="31">
        <v>15.083</v>
      </c>
      <c r="I23" s="31">
        <v>7.5810000000000004</v>
      </c>
      <c r="J23" s="32">
        <v>3.25</v>
      </c>
    </row>
    <row r="24" spans="1:10" x14ac:dyDescent="0.3">
      <c r="B24" s="28">
        <v>18</v>
      </c>
      <c r="C24" s="29" t="s">
        <v>233</v>
      </c>
      <c r="D24" s="137">
        <v>317700</v>
      </c>
      <c r="E24" s="132">
        <v>2</v>
      </c>
      <c r="F24" s="31">
        <v>9.75</v>
      </c>
      <c r="G24" s="173">
        <f t="shared" si="1"/>
        <v>27.147999999999996</v>
      </c>
      <c r="H24" s="31">
        <v>18.143999999999998</v>
      </c>
      <c r="I24" s="31">
        <v>9.0039999999999996</v>
      </c>
      <c r="J24" s="32">
        <v>3.9</v>
      </c>
    </row>
    <row r="25" spans="1:10" x14ac:dyDescent="0.3">
      <c r="B25" s="12">
        <v>20</v>
      </c>
      <c r="C25" s="13" t="s">
        <v>234</v>
      </c>
      <c r="D25" s="139">
        <v>379000</v>
      </c>
      <c r="E25" s="134">
        <v>2.5</v>
      </c>
      <c r="F25" s="15">
        <v>7.05</v>
      </c>
      <c r="G25" s="15">
        <f>+H25+I25</f>
        <v>30.058</v>
      </c>
      <c r="H25" s="15">
        <v>20.05</v>
      </c>
      <c r="I25" s="15">
        <v>10.007999999999999</v>
      </c>
      <c r="J25" s="16">
        <v>4.3</v>
      </c>
    </row>
    <row r="26" spans="1:10" x14ac:dyDescent="0.3">
      <c r="B26" s="12">
        <v>25</v>
      </c>
      <c r="C26" s="13" t="s">
        <v>235</v>
      </c>
      <c r="D26" s="139">
        <v>457600</v>
      </c>
      <c r="E26" s="134">
        <v>2.5</v>
      </c>
      <c r="F26" s="15">
        <v>8.75</v>
      </c>
      <c r="G26" s="15">
        <f t="shared" ref="G26:G28" si="2">+H26+I26</f>
        <v>37.786000000000001</v>
      </c>
      <c r="H26" s="15">
        <v>25.082999999999998</v>
      </c>
      <c r="I26" s="15">
        <v>12.702999999999999</v>
      </c>
      <c r="J26" s="16">
        <v>5.4</v>
      </c>
    </row>
    <row r="27" spans="1:10" x14ac:dyDescent="0.3">
      <c r="B27" s="12">
        <v>30</v>
      </c>
      <c r="C27" s="13" t="s">
        <v>236</v>
      </c>
      <c r="D27" s="139">
        <v>533800</v>
      </c>
      <c r="E27" s="134">
        <v>2.5</v>
      </c>
      <c r="F27" s="15">
        <v>10.4</v>
      </c>
      <c r="G27" s="15">
        <f t="shared" si="2"/>
        <v>45.287999999999997</v>
      </c>
      <c r="H27" s="15">
        <v>30.114999999999998</v>
      </c>
      <c r="I27" s="15">
        <v>15.173</v>
      </c>
      <c r="J27" s="16">
        <v>6.45</v>
      </c>
    </row>
    <row r="28" spans="1:10" ht="15" thickBot="1" x14ac:dyDescent="0.35">
      <c r="B28" s="20">
        <v>35</v>
      </c>
      <c r="C28" s="21" t="s">
        <v>237</v>
      </c>
      <c r="D28" s="140">
        <v>610100</v>
      </c>
      <c r="E28" s="135">
        <v>2.5</v>
      </c>
      <c r="F28" s="23">
        <v>12.05</v>
      </c>
      <c r="G28" s="23">
        <f t="shared" si="2"/>
        <v>52.791000000000004</v>
      </c>
      <c r="H28" s="23">
        <v>35.148000000000003</v>
      </c>
      <c r="I28" s="23">
        <v>17.643000000000001</v>
      </c>
      <c r="J28" s="24">
        <v>7.5</v>
      </c>
    </row>
    <row r="29" spans="1:10" x14ac:dyDescent="0.3">
      <c r="H29" s="79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3F5BA-EF88-4F91-B704-1872CE9DC80A}">
  <dimension ref="A2:J30"/>
  <sheetViews>
    <sheetView zoomScale="70" zoomScaleNormal="70" workbookViewId="0">
      <selection activeCell="O24" sqref="O24"/>
    </sheetView>
  </sheetViews>
  <sheetFormatPr defaultRowHeight="14.4" x14ac:dyDescent="0.3"/>
  <cols>
    <col min="1" max="1" width="13.21875" bestFit="1" customWidth="1"/>
    <col min="2" max="2" width="6.21875" bestFit="1" customWidth="1"/>
    <col min="3" max="3" width="9.5546875" bestFit="1" customWidth="1"/>
    <col min="4" max="4" width="10.21875" bestFit="1" customWidth="1"/>
    <col min="5" max="5" width="7.6640625" bestFit="1" customWidth="1"/>
    <col min="6" max="6" width="13.5546875" customWidth="1"/>
    <col min="7" max="7" width="9.109375" bestFit="1" customWidth="1"/>
    <col min="8" max="9" width="10" bestFit="1" customWidth="1"/>
    <col min="10" max="10" width="11" bestFit="1" customWidth="1"/>
  </cols>
  <sheetData>
    <row r="2" spans="1:10" x14ac:dyDescent="0.3">
      <c r="B2" t="s">
        <v>23</v>
      </c>
      <c r="C2" s="38" t="s">
        <v>9</v>
      </c>
      <c r="D2" s="39" t="str">
        <f>"10 - 42"</f>
        <v>10 - 42</v>
      </c>
    </row>
    <row r="3" spans="1:10" ht="15" thickBot="1" x14ac:dyDescent="0.35"/>
    <row r="4" spans="1:10" ht="16.8" thickBot="1" x14ac:dyDescent="0.35">
      <c r="B4" s="7" t="s">
        <v>16</v>
      </c>
      <c r="C4" s="8" t="s">
        <v>17</v>
      </c>
      <c r="D4" s="8" t="s">
        <v>18</v>
      </c>
      <c r="E4" s="8" t="s">
        <v>146</v>
      </c>
      <c r="F4" s="8" t="s">
        <v>145</v>
      </c>
      <c r="G4" s="8" t="s">
        <v>19</v>
      </c>
      <c r="H4" s="8" t="s">
        <v>20</v>
      </c>
      <c r="I4" s="8" t="s">
        <v>21</v>
      </c>
      <c r="J4" s="9" t="s">
        <v>22</v>
      </c>
    </row>
    <row r="5" spans="1:10" x14ac:dyDescent="0.3">
      <c r="A5" s="6"/>
      <c r="B5" s="55"/>
      <c r="C5" s="49" t="s">
        <v>149</v>
      </c>
      <c r="D5" s="50">
        <v>15000</v>
      </c>
      <c r="E5" s="51">
        <v>1.4</v>
      </c>
      <c r="F5" s="51">
        <v>1.4</v>
      </c>
      <c r="G5" s="51">
        <v>1.25</v>
      </c>
      <c r="H5" s="119"/>
      <c r="I5" s="97"/>
      <c r="J5" s="98"/>
    </row>
    <row r="6" spans="1:10" x14ac:dyDescent="0.3">
      <c r="B6" s="56"/>
      <c r="C6" s="52" t="s">
        <v>150</v>
      </c>
      <c r="D6" s="53">
        <v>25700</v>
      </c>
      <c r="E6" s="54">
        <v>1.6</v>
      </c>
      <c r="F6" s="54">
        <v>1.82</v>
      </c>
      <c r="G6" s="54">
        <v>1.6</v>
      </c>
      <c r="H6" s="120"/>
      <c r="I6" s="94"/>
      <c r="J6" s="99"/>
    </row>
    <row r="7" spans="1:10" x14ac:dyDescent="0.3">
      <c r="B7" s="56"/>
      <c r="C7" s="52" t="s">
        <v>151</v>
      </c>
      <c r="D7" s="53">
        <v>35400</v>
      </c>
      <c r="E7" s="54">
        <v>1.8</v>
      </c>
      <c r="F7" s="54">
        <v>2.0499999999999998</v>
      </c>
      <c r="G7" s="54">
        <v>1.9</v>
      </c>
      <c r="H7" s="120"/>
      <c r="I7" s="94"/>
      <c r="J7" s="99"/>
    </row>
    <row r="8" spans="1:10" x14ac:dyDescent="0.3">
      <c r="B8" s="56"/>
      <c r="C8" s="52" t="s">
        <v>163</v>
      </c>
      <c r="D8" s="53">
        <v>48100</v>
      </c>
      <c r="E8" s="54">
        <v>1.8</v>
      </c>
      <c r="F8" s="54">
        <v>2.37</v>
      </c>
      <c r="G8" s="54">
        <v>2.34</v>
      </c>
      <c r="H8" s="120"/>
      <c r="I8" s="94"/>
      <c r="J8" s="99"/>
    </row>
    <row r="9" spans="1:10" x14ac:dyDescent="0.3">
      <c r="B9" s="56"/>
      <c r="C9" s="52" t="s">
        <v>162</v>
      </c>
      <c r="D9" s="53">
        <v>56300</v>
      </c>
      <c r="E9" s="54">
        <v>1.8</v>
      </c>
      <c r="F9" s="54">
        <v>2.8</v>
      </c>
      <c r="G9" s="54">
        <v>3.44</v>
      </c>
      <c r="H9" s="120"/>
      <c r="I9" s="94"/>
      <c r="J9" s="99"/>
    </row>
    <row r="10" spans="1:10" x14ac:dyDescent="0.3">
      <c r="B10" s="56"/>
      <c r="C10" s="52" t="s">
        <v>161</v>
      </c>
      <c r="D10" s="53">
        <v>68200</v>
      </c>
      <c r="E10" s="54">
        <v>1.8</v>
      </c>
      <c r="F10" s="54">
        <v>3.22</v>
      </c>
      <c r="G10" s="54">
        <v>4.45</v>
      </c>
      <c r="H10" s="120"/>
      <c r="I10" s="94"/>
      <c r="J10" s="99"/>
    </row>
    <row r="11" spans="1:10" x14ac:dyDescent="0.3">
      <c r="B11" s="56"/>
      <c r="C11" s="52" t="s">
        <v>160</v>
      </c>
      <c r="D11" s="53">
        <v>74700</v>
      </c>
      <c r="E11" s="54">
        <v>1.8</v>
      </c>
      <c r="F11" s="54">
        <v>3.64</v>
      </c>
      <c r="G11" s="54">
        <v>5.46</v>
      </c>
      <c r="H11" s="120"/>
      <c r="I11" s="94"/>
      <c r="J11" s="99"/>
    </row>
    <row r="12" spans="1:10" x14ac:dyDescent="0.3">
      <c r="B12" s="56"/>
      <c r="C12" s="52" t="s">
        <v>152</v>
      </c>
      <c r="D12" s="53">
        <v>75400</v>
      </c>
      <c r="E12" s="54">
        <v>1.8</v>
      </c>
      <c r="F12" s="54">
        <v>4.07</v>
      </c>
      <c r="G12" s="54">
        <v>6.47</v>
      </c>
      <c r="H12" s="120"/>
      <c r="I12" s="94"/>
      <c r="J12" s="99"/>
    </row>
    <row r="13" spans="1:10" x14ac:dyDescent="0.3">
      <c r="B13" s="56"/>
      <c r="C13" s="52" t="s">
        <v>153</v>
      </c>
      <c r="D13" s="53">
        <v>85100</v>
      </c>
      <c r="E13" s="54">
        <v>1.8</v>
      </c>
      <c r="F13" s="54">
        <v>4.49</v>
      </c>
      <c r="G13" s="54">
        <v>7.48</v>
      </c>
      <c r="H13" s="120"/>
      <c r="I13" s="94"/>
      <c r="J13" s="99"/>
    </row>
    <row r="14" spans="1:10" x14ac:dyDescent="0.3">
      <c r="B14" s="56"/>
      <c r="C14" s="52" t="s">
        <v>154</v>
      </c>
      <c r="D14" s="53">
        <v>88300</v>
      </c>
      <c r="E14" s="54">
        <v>1.8</v>
      </c>
      <c r="F14" s="54">
        <v>4.91</v>
      </c>
      <c r="G14" s="54">
        <v>8.49</v>
      </c>
      <c r="H14" s="120"/>
      <c r="I14" s="94"/>
      <c r="J14" s="99"/>
    </row>
    <row r="15" spans="1:10" x14ac:dyDescent="0.3">
      <c r="B15" s="56"/>
      <c r="C15" s="52" t="s">
        <v>159</v>
      </c>
      <c r="D15" s="53">
        <v>97300</v>
      </c>
      <c r="E15" s="54">
        <v>1.8</v>
      </c>
      <c r="F15" s="54">
        <v>5.34</v>
      </c>
      <c r="G15" s="54">
        <v>9.5</v>
      </c>
      <c r="H15" s="120"/>
      <c r="I15" s="94"/>
      <c r="J15" s="99"/>
    </row>
    <row r="16" spans="1:10" x14ac:dyDescent="0.3">
      <c r="B16" s="56"/>
      <c r="C16" s="52" t="s">
        <v>155</v>
      </c>
      <c r="D16" s="53">
        <v>101500</v>
      </c>
      <c r="E16" s="54">
        <v>1.8</v>
      </c>
      <c r="F16" s="54">
        <v>5.76</v>
      </c>
      <c r="G16" s="54">
        <v>10.51</v>
      </c>
      <c r="H16" s="120"/>
      <c r="I16" s="94"/>
      <c r="J16" s="99"/>
    </row>
    <row r="17" spans="1:10" x14ac:dyDescent="0.3">
      <c r="B17" s="56"/>
      <c r="C17" s="52" t="s">
        <v>156</v>
      </c>
      <c r="D17" s="53">
        <v>109900</v>
      </c>
      <c r="E17" s="54">
        <v>1.8</v>
      </c>
      <c r="F17" s="54">
        <v>6.18</v>
      </c>
      <c r="G17" s="54">
        <v>11.52</v>
      </c>
      <c r="H17" s="120"/>
      <c r="I17" s="94"/>
      <c r="J17" s="99"/>
    </row>
    <row r="18" spans="1:10" x14ac:dyDescent="0.3">
      <c r="B18" s="56"/>
      <c r="C18" s="52" t="s">
        <v>157</v>
      </c>
      <c r="D18" s="53">
        <v>116300</v>
      </c>
      <c r="E18" s="54">
        <v>1.8</v>
      </c>
      <c r="F18" s="54">
        <v>6.6</v>
      </c>
      <c r="G18" s="54">
        <v>12.53</v>
      </c>
      <c r="H18" s="120"/>
      <c r="I18" s="94"/>
      <c r="J18" s="99"/>
    </row>
    <row r="19" spans="1:10" ht="15" thickBot="1" x14ac:dyDescent="0.35">
      <c r="B19" s="100"/>
      <c r="C19" s="101" t="s">
        <v>158</v>
      </c>
      <c r="D19" s="102">
        <v>118500</v>
      </c>
      <c r="E19" s="103">
        <v>1.8</v>
      </c>
      <c r="F19" s="103">
        <v>7.03</v>
      </c>
      <c r="G19" s="54">
        <v>13.54</v>
      </c>
      <c r="H19" s="121"/>
      <c r="I19" s="103"/>
      <c r="J19" s="105"/>
    </row>
    <row r="20" spans="1:10" x14ac:dyDescent="0.3">
      <c r="A20" s="6"/>
      <c r="B20" s="25"/>
      <c r="C20" s="26"/>
      <c r="D20" s="136"/>
      <c r="E20" s="122"/>
      <c r="F20" s="122"/>
      <c r="G20" s="122"/>
      <c r="H20" s="122"/>
      <c r="I20" s="122"/>
      <c r="J20" s="123"/>
    </row>
    <row r="21" spans="1:10" x14ac:dyDescent="0.3">
      <c r="B21" s="28"/>
      <c r="C21" s="29"/>
      <c r="D21" s="137"/>
      <c r="E21" s="31"/>
      <c r="F21" s="31"/>
      <c r="G21" s="31"/>
      <c r="H21" s="31"/>
      <c r="I21" s="31"/>
      <c r="J21" s="32"/>
    </row>
    <row r="22" spans="1:10" x14ac:dyDescent="0.3">
      <c r="B22" s="28"/>
      <c r="C22" s="29"/>
      <c r="D22" s="137"/>
      <c r="E22" s="31"/>
      <c r="F22" s="31"/>
      <c r="G22" s="31"/>
      <c r="H22" s="31"/>
      <c r="I22" s="31"/>
      <c r="J22" s="32"/>
    </row>
    <row r="23" spans="1:10" x14ac:dyDescent="0.3">
      <c r="B23" s="28"/>
      <c r="C23" s="29"/>
      <c r="D23" s="137"/>
      <c r="E23" s="31"/>
      <c r="F23" s="31"/>
      <c r="G23" s="31"/>
      <c r="H23" s="31"/>
      <c r="I23" s="31"/>
      <c r="J23" s="32"/>
    </row>
    <row r="24" spans="1:10" x14ac:dyDescent="0.3">
      <c r="B24" s="28"/>
      <c r="C24" s="29"/>
      <c r="D24" s="137"/>
      <c r="E24" s="31"/>
      <c r="F24" s="31"/>
      <c r="G24" s="31"/>
      <c r="H24" s="31"/>
      <c r="I24" s="31"/>
      <c r="J24" s="32"/>
    </row>
    <row r="25" spans="1:10" ht="15" thickBot="1" x14ac:dyDescent="0.35">
      <c r="B25" s="33"/>
      <c r="C25" s="34"/>
      <c r="D25" s="141"/>
      <c r="E25" s="36"/>
      <c r="F25" s="36"/>
      <c r="G25" s="36"/>
      <c r="H25" s="36"/>
      <c r="I25" s="36"/>
      <c r="J25" s="37"/>
    </row>
    <row r="26" spans="1:10" x14ac:dyDescent="0.3">
      <c r="B26" s="124"/>
      <c r="C26" s="125"/>
      <c r="D26" s="142"/>
      <c r="E26" s="126"/>
      <c r="F26" s="126"/>
      <c r="G26" s="126"/>
      <c r="H26" s="126"/>
      <c r="I26" s="126"/>
      <c r="J26" s="127"/>
    </row>
    <row r="27" spans="1:10" x14ac:dyDescent="0.3">
      <c r="B27" s="12"/>
      <c r="C27" s="13"/>
      <c r="D27" s="139"/>
      <c r="E27" s="15"/>
      <c r="F27" s="15"/>
      <c r="G27" s="15"/>
      <c r="H27" s="15"/>
      <c r="I27" s="15"/>
      <c r="J27" s="16"/>
    </row>
    <row r="28" spans="1:10" x14ac:dyDescent="0.3">
      <c r="B28" s="12"/>
      <c r="C28" s="13"/>
      <c r="D28" s="139"/>
      <c r="E28" s="15"/>
      <c r="F28" s="15"/>
      <c r="G28" s="15"/>
      <c r="H28" s="15"/>
      <c r="I28" s="15"/>
      <c r="J28" s="16"/>
    </row>
    <row r="29" spans="1:10" x14ac:dyDescent="0.3">
      <c r="B29" s="12"/>
      <c r="C29" s="13"/>
      <c r="D29" s="139"/>
      <c r="E29" s="15"/>
      <c r="F29" s="15"/>
      <c r="G29" s="15"/>
      <c r="H29" s="15"/>
      <c r="I29" s="15"/>
      <c r="J29" s="16"/>
    </row>
    <row r="30" spans="1:10" ht="15" thickBot="1" x14ac:dyDescent="0.35">
      <c r="B30" s="20"/>
      <c r="C30" s="21"/>
      <c r="D30" s="140"/>
      <c r="E30" s="23"/>
      <c r="F30" s="23"/>
      <c r="G30" s="23"/>
      <c r="H30" s="23"/>
      <c r="I30" s="23"/>
      <c r="J30" s="24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81A8-2FF3-4E8C-8981-A71B38916AD4}">
  <dimension ref="A2:X30"/>
  <sheetViews>
    <sheetView topLeftCell="A4" zoomScale="115" zoomScaleNormal="115" workbookViewId="0">
      <selection activeCell="P15" sqref="P15"/>
    </sheetView>
  </sheetViews>
  <sheetFormatPr defaultRowHeight="14.4" x14ac:dyDescent="0.3"/>
  <cols>
    <col min="1" max="1" width="13.21875" bestFit="1" customWidth="1"/>
    <col min="2" max="2" width="6.21875" bestFit="1" customWidth="1"/>
    <col min="3" max="3" width="10.109375" bestFit="1" customWidth="1"/>
    <col min="4" max="4" width="10.21875" bestFit="1" customWidth="1"/>
    <col min="5" max="5" width="7.6640625" bestFit="1" customWidth="1"/>
    <col min="6" max="6" width="13.5546875" customWidth="1"/>
    <col min="7" max="7" width="9.109375" bestFit="1" customWidth="1"/>
    <col min="8" max="9" width="10" bestFit="1" customWidth="1"/>
    <col min="10" max="10" width="11" bestFit="1" customWidth="1"/>
    <col min="11" max="11" width="8.21875" bestFit="1" customWidth="1"/>
  </cols>
  <sheetData>
    <row r="2" spans="1:24" x14ac:dyDescent="0.3">
      <c r="B2" t="s">
        <v>23</v>
      </c>
      <c r="C2" s="38" t="s">
        <v>9</v>
      </c>
      <c r="D2" s="39" t="str">
        <f>"10 - 42"</f>
        <v>10 - 42</v>
      </c>
    </row>
    <row r="3" spans="1:24" ht="15" thickBot="1" x14ac:dyDescent="0.35"/>
    <row r="4" spans="1:24" ht="16.8" thickBot="1" x14ac:dyDescent="0.35">
      <c r="B4" s="7" t="s">
        <v>16</v>
      </c>
      <c r="C4" s="8" t="s">
        <v>17</v>
      </c>
      <c r="D4" s="8" t="s">
        <v>18</v>
      </c>
      <c r="E4" s="8" t="s">
        <v>146</v>
      </c>
      <c r="F4" s="8" t="s">
        <v>145</v>
      </c>
      <c r="G4" s="8" t="s">
        <v>19</v>
      </c>
      <c r="H4" s="8" t="s">
        <v>20</v>
      </c>
      <c r="I4" s="8" t="s">
        <v>21</v>
      </c>
      <c r="J4" s="9" t="s">
        <v>22</v>
      </c>
      <c r="K4" s="77" t="s">
        <v>52</v>
      </c>
      <c r="M4" s="90" t="s">
        <v>81</v>
      </c>
      <c r="N4" s="90" t="s">
        <v>82</v>
      </c>
      <c r="U4" t="s">
        <v>179</v>
      </c>
      <c r="V4">
        <v>3</v>
      </c>
      <c r="W4">
        <v>37</v>
      </c>
      <c r="X4" t="str">
        <f>"SSFA-"&amp;V4&amp;W4</f>
        <v>SSFA-337</v>
      </c>
    </row>
    <row r="5" spans="1:24" x14ac:dyDescent="0.3">
      <c r="A5" s="6"/>
      <c r="B5" s="55">
        <v>1.85</v>
      </c>
      <c r="C5" s="49" t="s">
        <v>180</v>
      </c>
      <c r="D5" s="50">
        <v>57200</v>
      </c>
      <c r="E5" s="51">
        <v>1.4</v>
      </c>
      <c r="F5" s="51">
        <v>1.4</v>
      </c>
      <c r="G5" s="51">
        <v>1.25</v>
      </c>
      <c r="H5" s="119"/>
      <c r="I5" s="97"/>
      <c r="J5" s="98"/>
      <c r="K5" s="95">
        <f t="shared" ref="K5:K18" si="0">B5*0.25*2*0.7/14.112</f>
        <v>4.5882936507936505E-2</v>
      </c>
      <c r="L5" s="159"/>
      <c r="M5" t="s">
        <v>70</v>
      </c>
      <c r="N5">
        <v>1</v>
      </c>
      <c r="U5" t="s">
        <v>179</v>
      </c>
      <c r="V5">
        <v>5</v>
      </c>
      <c r="W5">
        <v>67</v>
      </c>
      <c r="X5" t="str">
        <f t="shared" ref="X5:X18" si="1">"SSFA-"&amp;V5&amp;W5</f>
        <v>SSFA-567</v>
      </c>
    </row>
    <row r="6" spans="1:24" x14ac:dyDescent="0.3">
      <c r="B6" s="56">
        <v>3.35</v>
      </c>
      <c r="C6" s="52" t="s">
        <v>181</v>
      </c>
      <c r="D6" s="53">
        <v>78500</v>
      </c>
      <c r="E6" s="54">
        <v>1.6</v>
      </c>
      <c r="F6" s="54">
        <v>1.82</v>
      </c>
      <c r="G6" s="54">
        <v>1.6</v>
      </c>
      <c r="H6" s="120"/>
      <c r="I6" s="94"/>
      <c r="J6" s="99"/>
      <c r="K6" s="95">
        <f t="shared" si="0"/>
        <v>8.3085317460317457E-2</v>
      </c>
      <c r="L6" s="160"/>
      <c r="M6" t="s">
        <v>72</v>
      </c>
      <c r="N6">
        <v>1</v>
      </c>
      <c r="U6" t="s">
        <v>179</v>
      </c>
      <c r="V6">
        <v>7</v>
      </c>
      <c r="W6">
        <v>98</v>
      </c>
      <c r="X6" t="str">
        <f t="shared" si="1"/>
        <v>SSFA-798</v>
      </c>
    </row>
    <row r="7" spans="1:24" x14ac:dyDescent="0.3">
      <c r="B7" s="56">
        <v>4.9000000000000004</v>
      </c>
      <c r="C7" s="52" t="s">
        <v>182</v>
      </c>
      <c r="D7" s="53">
        <v>111500</v>
      </c>
      <c r="E7" s="54">
        <v>1.8</v>
      </c>
      <c r="F7" s="54">
        <v>2.0499999999999998</v>
      </c>
      <c r="G7" s="54">
        <v>1.9</v>
      </c>
      <c r="H7" s="120"/>
      <c r="I7" s="94"/>
      <c r="J7" s="99"/>
      <c r="K7" s="95">
        <f t="shared" si="0"/>
        <v>0.12152777777777778</v>
      </c>
      <c r="L7" s="160"/>
      <c r="M7" t="s">
        <v>71</v>
      </c>
      <c r="N7">
        <v>2</v>
      </c>
      <c r="U7" t="s">
        <v>179</v>
      </c>
      <c r="V7">
        <v>7</v>
      </c>
      <c r="W7">
        <v>128</v>
      </c>
      <c r="X7" t="str">
        <f t="shared" si="1"/>
        <v>SSFA-7128</v>
      </c>
    </row>
    <row r="8" spans="1:24" x14ac:dyDescent="0.3">
      <c r="B8" s="56">
        <v>6.4</v>
      </c>
      <c r="C8" s="52" t="s">
        <v>183</v>
      </c>
      <c r="D8" s="53">
        <v>140100</v>
      </c>
      <c r="E8" s="54">
        <v>1.8</v>
      </c>
      <c r="F8" s="54">
        <v>2.37</v>
      </c>
      <c r="G8" s="54">
        <v>2.34</v>
      </c>
      <c r="H8" s="120"/>
      <c r="I8" s="94"/>
      <c r="J8" s="99"/>
      <c r="K8" s="95">
        <f t="shared" si="0"/>
        <v>0.15873015873015872</v>
      </c>
      <c r="L8" s="160"/>
      <c r="M8" t="s">
        <v>72</v>
      </c>
      <c r="N8">
        <v>2</v>
      </c>
      <c r="U8" t="s">
        <v>179</v>
      </c>
      <c r="V8">
        <v>7</v>
      </c>
      <c r="W8">
        <v>159</v>
      </c>
      <c r="X8" t="str">
        <f t="shared" si="1"/>
        <v>SSFA-7159</v>
      </c>
    </row>
    <row r="9" spans="1:24" x14ac:dyDescent="0.3">
      <c r="B9" s="56">
        <v>7.95</v>
      </c>
      <c r="C9" s="52" t="s">
        <v>184</v>
      </c>
      <c r="D9" s="53">
        <v>174300</v>
      </c>
      <c r="E9" s="54">
        <v>1.8</v>
      </c>
      <c r="F9" s="54">
        <v>2.8</v>
      </c>
      <c r="G9" s="54">
        <v>3.44</v>
      </c>
      <c r="H9" s="120"/>
      <c r="I9" s="94"/>
      <c r="J9" s="99"/>
      <c r="K9" s="95">
        <f t="shared" si="0"/>
        <v>0.19717261904761904</v>
      </c>
      <c r="L9" s="160"/>
      <c r="M9" t="s">
        <v>72</v>
      </c>
      <c r="N9">
        <v>2</v>
      </c>
      <c r="U9" t="s">
        <v>179</v>
      </c>
      <c r="V9">
        <v>7</v>
      </c>
      <c r="W9">
        <v>189</v>
      </c>
      <c r="X9" t="str">
        <f t="shared" si="1"/>
        <v>SSFA-7189</v>
      </c>
    </row>
    <row r="10" spans="1:24" x14ac:dyDescent="0.3">
      <c r="B10" s="56">
        <v>9.4499999999999993</v>
      </c>
      <c r="C10" s="52" t="s">
        <v>185</v>
      </c>
      <c r="D10" s="53">
        <v>200900</v>
      </c>
      <c r="E10" s="54">
        <v>1.8</v>
      </c>
      <c r="F10" s="54">
        <v>3.22</v>
      </c>
      <c r="G10" s="54">
        <v>4.45</v>
      </c>
      <c r="H10" s="120"/>
      <c r="I10" s="94"/>
      <c r="J10" s="99"/>
      <c r="K10" s="95">
        <f t="shared" si="0"/>
        <v>0.23437499999999997</v>
      </c>
      <c r="L10" s="160"/>
      <c r="M10" t="s">
        <v>72</v>
      </c>
      <c r="N10">
        <v>3</v>
      </c>
      <c r="U10" t="s">
        <v>179</v>
      </c>
      <c r="V10">
        <v>7</v>
      </c>
      <c r="W10">
        <v>219</v>
      </c>
      <c r="X10" t="str">
        <f t="shared" si="1"/>
        <v>SSFA-7219</v>
      </c>
    </row>
    <row r="11" spans="1:24" x14ac:dyDescent="0.3">
      <c r="B11" s="56">
        <v>10.95</v>
      </c>
      <c r="C11" s="52" t="s">
        <v>186</v>
      </c>
      <c r="D11" s="53">
        <v>215300</v>
      </c>
      <c r="E11" s="54">
        <v>1.8</v>
      </c>
      <c r="F11" s="54">
        <v>3.64</v>
      </c>
      <c r="G11" s="54">
        <v>5.46</v>
      </c>
      <c r="H11" s="120"/>
      <c r="I11" s="94"/>
      <c r="J11" s="99"/>
      <c r="K11" s="95">
        <f t="shared" si="0"/>
        <v>0.27157738095238093</v>
      </c>
      <c r="L11" s="160"/>
      <c r="M11" t="s">
        <v>72</v>
      </c>
      <c r="N11">
        <v>3</v>
      </c>
      <c r="U11" t="s">
        <v>179</v>
      </c>
      <c r="V11">
        <v>7</v>
      </c>
      <c r="W11">
        <v>250</v>
      </c>
      <c r="X11" t="str">
        <f t="shared" si="1"/>
        <v>SSFA-7250</v>
      </c>
    </row>
    <row r="12" spans="1:24" x14ac:dyDescent="0.3">
      <c r="B12" s="56">
        <v>12.5</v>
      </c>
      <c r="C12" s="52" t="s">
        <v>187</v>
      </c>
      <c r="D12" s="53">
        <v>267100</v>
      </c>
      <c r="E12" s="54">
        <v>1.8</v>
      </c>
      <c r="F12" s="54">
        <v>4.07</v>
      </c>
      <c r="G12" s="54">
        <v>6.47</v>
      </c>
      <c r="H12" s="120"/>
      <c r="I12" s="94"/>
      <c r="J12" s="99"/>
      <c r="K12" s="95">
        <f t="shared" si="0"/>
        <v>0.31001984126984128</v>
      </c>
      <c r="L12" s="160"/>
      <c r="M12" t="s">
        <v>73</v>
      </c>
      <c r="N12">
        <v>3</v>
      </c>
      <c r="U12" t="s">
        <v>179</v>
      </c>
      <c r="V12">
        <v>7</v>
      </c>
      <c r="W12">
        <v>280</v>
      </c>
      <c r="X12" t="str">
        <f t="shared" si="1"/>
        <v>SSFA-7280</v>
      </c>
    </row>
    <row r="13" spans="1:24" x14ac:dyDescent="0.3">
      <c r="B13" s="56">
        <v>14</v>
      </c>
      <c r="C13" s="52" t="s">
        <v>188</v>
      </c>
      <c r="D13" s="53">
        <v>297000</v>
      </c>
      <c r="E13" s="54">
        <v>1.8</v>
      </c>
      <c r="F13" s="54">
        <v>4.49</v>
      </c>
      <c r="G13" s="54">
        <v>7.48</v>
      </c>
      <c r="H13" s="120"/>
      <c r="I13" s="94"/>
      <c r="J13" s="99"/>
      <c r="K13" s="95">
        <f t="shared" si="0"/>
        <v>0.34722222222222215</v>
      </c>
      <c r="L13" s="160"/>
      <c r="M13" t="s">
        <v>72</v>
      </c>
      <c r="N13">
        <v>4</v>
      </c>
      <c r="U13" t="s">
        <v>179</v>
      </c>
      <c r="V13">
        <v>7</v>
      </c>
      <c r="W13">
        <v>312</v>
      </c>
      <c r="X13" t="str">
        <f t="shared" si="1"/>
        <v>SSFA-7312</v>
      </c>
    </row>
    <row r="14" spans="1:24" x14ac:dyDescent="0.3">
      <c r="B14" s="56">
        <v>15.6</v>
      </c>
      <c r="C14" s="52" t="s">
        <v>189</v>
      </c>
      <c r="D14" s="53">
        <v>305100</v>
      </c>
      <c r="E14" s="54">
        <v>1.8</v>
      </c>
      <c r="F14" s="54">
        <v>4.91</v>
      </c>
      <c r="G14" s="54">
        <v>8.49</v>
      </c>
      <c r="H14" s="120"/>
      <c r="I14" s="94"/>
      <c r="J14" s="99"/>
      <c r="K14" s="95">
        <f t="shared" si="0"/>
        <v>0.38690476190476192</v>
      </c>
      <c r="L14" s="160"/>
      <c r="M14" t="s">
        <v>72</v>
      </c>
      <c r="N14">
        <v>4</v>
      </c>
      <c r="U14" t="s">
        <v>179</v>
      </c>
      <c r="V14">
        <v>7</v>
      </c>
      <c r="W14">
        <v>343</v>
      </c>
      <c r="X14" t="str">
        <f t="shared" si="1"/>
        <v>SSFA-7343</v>
      </c>
    </row>
    <row r="15" spans="1:24" x14ac:dyDescent="0.3">
      <c r="B15" s="56">
        <v>17.149999999999999</v>
      </c>
      <c r="C15" s="52" t="s">
        <v>190</v>
      </c>
      <c r="D15" s="53">
        <v>330500</v>
      </c>
      <c r="E15" s="54">
        <v>1.8</v>
      </c>
      <c r="F15" s="54">
        <v>5.34</v>
      </c>
      <c r="G15" s="54">
        <v>9.5</v>
      </c>
      <c r="H15" s="120"/>
      <c r="I15" s="94"/>
      <c r="J15" s="99"/>
      <c r="K15" s="95">
        <f t="shared" si="0"/>
        <v>0.42534722222222221</v>
      </c>
      <c r="L15" s="160"/>
      <c r="M15" t="s">
        <v>73</v>
      </c>
      <c r="N15">
        <v>4</v>
      </c>
      <c r="U15" t="s">
        <v>179</v>
      </c>
      <c r="V15">
        <v>7</v>
      </c>
      <c r="W15">
        <v>375</v>
      </c>
      <c r="X15" t="str">
        <f t="shared" si="1"/>
        <v>SSFA-7375</v>
      </c>
    </row>
    <row r="16" spans="1:24" x14ac:dyDescent="0.3">
      <c r="B16" s="56">
        <v>18.75</v>
      </c>
      <c r="C16" s="52" t="s">
        <v>191</v>
      </c>
      <c r="D16" s="53">
        <v>350100</v>
      </c>
      <c r="E16" s="54">
        <v>1.8</v>
      </c>
      <c r="F16" s="54">
        <v>5.76</v>
      </c>
      <c r="G16" s="54">
        <v>10.51</v>
      </c>
      <c r="H16" s="120"/>
      <c r="I16" s="94"/>
      <c r="J16" s="99"/>
      <c r="K16" s="95">
        <f t="shared" si="0"/>
        <v>0.46502976190476192</v>
      </c>
      <c r="L16" s="160"/>
      <c r="M16" t="s">
        <v>73</v>
      </c>
      <c r="N16">
        <v>4</v>
      </c>
      <c r="U16" t="s">
        <v>179</v>
      </c>
      <c r="V16">
        <v>7</v>
      </c>
      <c r="W16">
        <v>406</v>
      </c>
      <c r="X16" t="str">
        <f t="shared" si="1"/>
        <v>SSFA-7406</v>
      </c>
    </row>
    <row r="17" spans="1:24" x14ac:dyDescent="0.3">
      <c r="B17" s="56">
        <v>20.3</v>
      </c>
      <c r="C17" s="52" t="s">
        <v>192</v>
      </c>
      <c r="D17" s="53">
        <v>375700</v>
      </c>
      <c r="E17" s="54">
        <v>1.8</v>
      </c>
      <c r="F17" s="54">
        <v>6.18</v>
      </c>
      <c r="G17" s="54">
        <v>11.52</v>
      </c>
      <c r="H17" s="120"/>
      <c r="I17" s="94"/>
      <c r="J17" s="99"/>
      <c r="K17" s="95">
        <f t="shared" si="0"/>
        <v>0.50347222222222221</v>
      </c>
      <c r="L17" s="160"/>
      <c r="M17" t="s">
        <v>72</v>
      </c>
      <c r="N17">
        <v>6</v>
      </c>
      <c r="U17" t="s">
        <v>179</v>
      </c>
      <c r="V17">
        <v>7</v>
      </c>
      <c r="W17">
        <v>436</v>
      </c>
      <c r="X17" t="str">
        <f t="shared" si="1"/>
        <v>SSFA-7436</v>
      </c>
    </row>
    <row r="18" spans="1:24" x14ac:dyDescent="0.3">
      <c r="B18" s="56">
        <v>21.8</v>
      </c>
      <c r="C18" s="52" t="s">
        <v>193</v>
      </c>
      <c r="D18" s="53">
        <v>395800</v>
      </c>
      <c r="E18" s="54">
        <v>1.8</v>
      </c>
      <c r="F18" s="54">
        <v>6.6</v>
      </c>
      <c r="G18" s="54">
        <v>12.53</v>
      </c>
      <c r="H18" s="120"/>
      <c r="I18" s="94"/>
      <c r="J18" s="99"/>
      <c r="K18" s="95">
        <f t="shared" si="0"/>
        <v>0.54067460317460314</v>
      </c>
      <c r="L18" s="160"/>
      <c r="M18" t="s">
        <v>72</v>
      </c>
      <c r="N18">
        <v>6</v>
      </c>
      <c r="U18" t="s">
        <v>179</v>
      </c>
      <c r="V18">
        <v>7</v>
      </c>
      <c r="W18">
        <v>466</v>
      </c>
      <c r="X18" t="str">
        <f t="shared" si="1"/>
        <v>SSFA-7466</v>
      </c>
    </row>
    <row r="19" spans="1:24" ht="15" thickBot="1" x14ac:dyDescent="0.35">
      <c r="B19" s="100">
        <v>23.3</v>
      </c>
      <c r="C19" s="101" t="s">
        <v>194</v>
      </c>
      <c r="D19" s="102">
        <v>412700</v>
      </c>
      <c r="E19" s="103">
        <v>1.8</v>
      </c>
      <c r="F19" s="103">
        <v>7.03</v>
      </c>
      <c r="G19" s="103">
        <v>13.54</v>
      </c>
      <c r="H19" s="121"/>
      <c r="I19" s="103"/>
      <c r="J19" s="105"/>
      <c r="K19" s="95">
        <f>B19*0.25*2*0.7/14.112</f>
        <v>0.57787698412698407</v>
      </c>
      <c r="L19" s="160"/>
      <c r="M19" t="s">
        <v>72</v>
      </c>
      <c r="N19">
        <v>6</v>
      </c>
    </row>
    <row r="20" spans="1:24" x14ac:dyDescent="0.3">
      <c r="A20" s="6"/>
      <c r="B20" s="25"/>
      <c r="C20" s="26"/>
      <c r="D20" s="136"/>
      <c r="E20" s="122"/>
      <c r="F20" s="122"/>
      <c r="G20" s="122"/>
      <c r="H20" s="122"/>
      <c r="I20" s="122"/>
      <c r="J20" s="123"/>
      <c r="K20" s="79"/>
    </row>
    <row r="21" spans="1:24" x14ac:dyDescent="0.3">
      <c r="B21" s="28"/>
      <c r="C21" s="29"/>
      <c r="D21" s="137"/>
      <c r="E21" s="31"/>
      <c r="F21" s="31"/>
      <c r="G21" s="31"/>
      <c r="H21" s="31"/>
      <c r="I21" s="31"/>
      <c r="J21" s="32"/>
      <c r="K21" s="79"/>
    </row>
    <row r="22" spans="1:24" x14ac:dyDescent="0.3">
      <c r="B22" s="28"/>
      <c r="C22" s="29"/>
      <c r="D22" s="137"/>
      <c r="E22" s="31"/>
      <c r="F22" s="31"/>
      <c r="G22" s="31"/>
      <c r="H22" s="31"/>
      <c r="I22" s="31"/>
      <c r="J22" s="32"/>
      <c r="K22" s="79"/>
    </row>
    <row r="23" spans="1:24" x14ac:dyDescent="0.3">
      <c r="B23" s="28"/>
      <c r="C23" s="29"/>
      <c r="D23" s="137"/>
      <c r="E23" s="31"/>
      <c r="F23" s="31"/>
      <c r="G23" s="31"/>
      <c r="H23" s="31"/>
      <c r="I23" s="31"/>
      <c r="J23" s="32"/>
      <c r="K23" s="79"/>
    </row>
    <row r="24" spans="1:24" x14ac:dyDescent="0.3">
      <c r="B24" s="28"/>
      <c r="C24" s="29"/>
      <c r="D24" s="137"/>
      <c r="E24" s="31"/>
      <c r="F24" s="31"/>
      <c r="G24" s="31"/>
      <c r="H24" s="31"/>
      <c r="I24" s="31"/>
      <c r="J24" s="32"/>
      <c r="K24" s="79"/>
    </row>
    <row r="25" spans="1:24" ht="15" thickBot="1" x14ac:dyDescent="0.35">
      <c r="B25" s="33"/>
      <c r="C25" s="34"/>
      <c r="D25" s="141"/>
      <c r="E25" s="36"/>
      <c r="F25" s="36"/>
      <c r="G25" s="36"/>
      <c r="H25" s="36"/>
      <c r="I25" s="36"/>
      <c r="J25" s="37"/>
      <c r="K25" s="79"/>
    </row>
    <row r="26" spans="1:24" x14ac:dyDescent="0.3">
      <c r="B26" s="124"/>
      <c r="C26" s="125"/>
      <c r="D26" s="142"/>
      <c r="E26" s="126"/>
      <c r="F26" s="126"/>
      <c r="G26" s="126"/>
      <c r="H26" s="126"/>
      <c r="I26" s="126"/>
      <c r="J26" s="127"/>
      <c r="K26" s="79"/>
    </row>
    <row r="27" spans="1:24" x14ac:dyDescent="0.3">
      <c r="B27" s="12"/>
      <c r="C27" s="13"/>
      <c r="D27" s="139"/>
      <c r="E27" s="15"/>
      <c r="F27" s="15"/>
      <c r="G27" s="15"/>
      <c r="H27" s="15"/>
      <c r="I27" s="15"/>
      <c r="J27" s="16"/>
      <c r="K27" s="79"/>
    </row>
    <row r="28" spans="1:24" x14ac:dyDescent="0.3">
      <c r="B28" s="12"/>
      <c r="C28" s="13"/>
      <c r="D28" s="139"/>
      <c r="E28" s="15"/>
      <c r="F28" s="15"/>
      <c r="G28" s="15"/>
      <c r="H28" s="15"/>
      <c r="I28" s="15"/>
      <c r="J28" s="16"/>
      <c r="K28" s="79"/>
    </row>
    <row r="29" spans="1:24" x14ac:dyDescent="0.3">
      <c r="B29" s="12"/>
      <c r="C29" s="13"/>
      <c r="D29" s="139"/>
      <c r="E29" s="15"/>
      <c r="F29" s="15"/>
      <c r="G29" s="15"/>
      <c r="H29" s="15"/>
      <c r="I29" s="15"/>
      <c r="J29" s="16"/>
      <c r="K29" s="79"/>
    </row>
    <row r="30" spans="1:24" ht="15" thickBot="1" x14ac:dyDescent="0.35">
      <c r="B30" s="20"/>
      <c r="C30" s="21"/>
      <c r="D30" s="140"/>
      <c r="E30" s="23"/>
      <c r="F30" s="23"/>
      <c r="G30" s="23"/>
      <c r="H30" s="23"/>
      <c r="I30" s="23"/>
      <c r="J30" s="24"/>
      <c r="K30" s="79"/>
    </row>
  </sheetData>
  <mergeCells count="1">
    <mergeCell ref="L5:L1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973F-34E1-41F7-8A04-3C4706B4E44E}">
  <dimension ref="A2:J30"/>
  <sheetViews>
    <sheetView topLeftCell="A19" zoomScale="145" zoomScaleNormal="145" workbookViewId="0">
      <selection activeCell="D16" sqref="D15:D16"/>
    </sheetView>
  </sheetViews>
  <sheetFormatPr defaultRowHeight="14.4" x14ac:dyDescent="0.3"/>
  <cols>
    <col min="1" max="1" width="13.21875" bestFit="1" customWidth="1"/>
    <col min="2" max="2" width="6.21875" bestFit="1" customWidth="1"/>
    <col min="3" max="3" width="9.5546875" bestFit="1" customWidth="1"/>
    <col min="4" max="4" width="10.21875" bestFit="1" customWidth="1"/>
    <col min="5" max="5" width="7.6640625" bestFit="1" customWidth="1"/>
    <col min="6" max="6" width="13.5546875" customWidth="1"/>
    <col min="7" max="7" width="9.109375" bestFit="1" customWidth="1"/>
    <col min="8" max="9" width="10" bestFit="1" customWidth="1"/>
    <col min="10" max="10" width="11" bestFit="1" customWidth="1"/>
  </cols>
  <sheetData>
    <row r="2" spans="1:10" x14ac:dyDescent="0.3">
      <c r="B2" t="s">
        <v>23</v>
      </c>
      <c r="C2" s="38" t="s">
        <v>9</v>
      </c>
      <c r="D2" s="39" t="str">
        <f>"10 - 42"</f>
        <v>10 - 42</v>
      </c>
    </row>
    <row r="3" spans="1:10" ht="15" thickBot="1" x14ac:dyDescent="0.35"/>
    <row r="4" spans="1:10" ht="16.8" thickBot="1" x14ac:dyDescent="0.35">
      <c r="B4" s="7" t="s">
        <v>16</v>
      </c>
      <c r="C4" s="8" t="s">
        <v>17</v>
      </c>
      <c r="D4" s="8" t="s">
        <v>18</v>
      </c>
      <c r="E4" s="8" t="s">
        <v>146</v>
      </c>
      <c r="F4" s="8" t="s">
        <v>145</v>
      </c>
      <c r="G4" s="8" t="s">
        <v>19</v>
      </c>
      <c r="H4" s="8" t="s">
        <v>20</v>
      </c>
      <c r="I4" s="8" t="s">
        <v>21</v>
      </c>
      <c r="J4" s="9" t="s">
        <v>22</v>
      </c>
    </row>
    <row r="5" spans="1:10" x14ac:dyDescent="0.3">
      <c r="A5" s="6"/>
      <c r="B5" s="55"/>
      <c r="C5" s="49" t="s">
        <v>177</v>
      </c>
      <c r="D5" s="50">
        <v>20800</v>
      </c>
      <c r="E5" s="51">
        <v>1.4</v>
      </c>
      <c r="F5" s="51">
        <v>1.4</v>
      </c>
      <c r="G5" s="51">
        <v>1.25</v>
      </c>
      <c r="H5" s="119"/>
      <c r="I5" s="97"/>
      <c r="J5" s="98"/>
    </row>
    <row r="6" spans="1:10" x14ac:dyDescent="0.3">
      <c r="B6" s="56"/>
      <c r="C6" s="52" t="s">
        <v>164</v>
      </c>
      <c r="D6" s="53">
        <v>31300</v>
      </c>
      <c r="E6" s="54">
        <v>1.6</v>
      </c>
      <c r="F6" s="54">
        <v>1.82</v>
      </c>
      <c r="G6" s="54">
        <v>1.6</v>
      </c>
      <c r="H6" s="120"/>
      <c r="I6" s="94"/>
      <c r="J6" s="99"/>
    </row>
    <row r="7" spans="1:10" x14ac:dyDescent="0.3">
      <c r="B7" s="56"/>
      <c r="C7" s="52" t="s">
        <v>165</v>
      </c>
      <c r="D7" s="53">
        <v>43900</v>
      </c>
      <c r="E7" s="54">
        <v>1.8</v>
      </c>
      <c r="F7" s="54">
        <v>2.0499999999999998</v>
      </c>
      <c r="G7" s="54">
        <v>1.9</v>
      </c>
      <c r="H7" s="120"/>
      <c r="I7" s="94"/>
      <c r="J7" s="99"/>
    </row>
    <row r="8" spans="1:10" x14ac:dyDescent="0.3">
      <c r="B8" s="56"/>
      <c r="C8" s="52" t="s">
        <v>166</v>
      </c>
      <c r="D8" s="53">
        <v>623300</v>
      </c>
      <c r="E8" s="54">
        <v>1.8</v>
      </c>
      <c r="F8" s="54">
        <v>2.37</v>
      </c>
      <c r="G8" s="54">
        <v>2.34</v>
      </c>
      <c r="H8" s="120"/>
      <c r="I8" s="94"/>
      <c r="J8" s="99"/>
    </row>
    <row r="9" spans="1:10" x14ac:dyDescent="0.3">
      <c r="B9" s="56"/>
      <c r="C9" s="52" t="s">
        <v>167</v>
      </c>
      <c r="D9" s="53">
        <v>72100</v>
      </c>
      <c r="E9" s="54">
        <v>1.8</v>
      </c>
      <c r="F9" s="54">
        <v>2.8</v>
      </c>
      <c r="G9" s="54">
        <v>3.44</v>
      </c>
      <c r="H9" s="120"/>
      <c r="I9" s="94"/>
      <c r="J9" s="99"/>
    </row>
    <row r="10" spans="1:10" x14ac:dyDescent="0.3">
      <c r="B10" s="56"/>
      <c r="C10" s="52" t="s">
        <v>168</v>
      </c>
      <c r="D10" s="53">
        <v>84300</v>
      </c>
      <c r="E10" s="54">
        <v>1.8</v>
      </c>
      <c r="F10" s="54">
        <v>3.22</v>
      </c>
      <c r="G10" s="54">
        <v>4.45</v>
      </c>
      <c r="H10" s="120"/>
      <c r="I10" s="94"/>
      <c r="J10" s="99"/>
    </row>
    <row r="11" spans="1:10" x14ac:dyDescent="0.3">
      <c r="B11" s="56"/>
      <c r="C11" s="52" t="s">
        <v>169</v>
      </c>
      <c r="D11" s="53">
        <v>93500</v>
      </c>
      <c r="E11" s="54">
        <v>1.8</v>
      </c>
      <c r="F11" s="54">
        <v>3.64</v>
      </c>
      <c r="G11" s="54">
        <v>5.46</v>
      </c>
      <c r="H11" s="120"/>
      <c r="I11" s="94"/>
      <c r="J11" s="99"/>
    </row>
    <row r="12" spans="1:10" x14ac:dyDescent="0.3">
      <c r="B12" s="56"/>
      <c r="C12" s="52" t="s">
        <v>170</v>
      </c>
      <c r="D12" s="53">
        <v>105500</v>
      </c>
      <c r="E12" s="54">
        <v>1.8</v>
      </c>
      <c r="F12" s="54">
        <v>4.07</v>
      </c>
      <c r="G12" s="54">
        <v>6.47</v>
      </c>
      <c r="H12" s="120"/>
      <c r="I12" s="94"/>
      <c r="J12" s="99"/>
    </row>
    <row r="13" spans="1:10" x14ac:dyDescent="0.3">
      <c r="B13" s="56"/>
      <c r="C13" s="52" t="s">
        <v>171</v>
      </c>
      <c r="D13" s="53">
        <v>120100</v>
      </c>
      <c r="E13" s="54">
        <v>1.8</v>
      </c>
      <c r="F13" s="54">
        <v>4.49</v>
      </c>
      <c r="G13" s="54">
        <v>7.48</v>
      </c>
      <c r="H13" s="120"/>
      <c r="I13" s="94"/>
      <c r="J13" s="99"/>
    </row>
    <row r="14" spans="1:10" x14ac:dyDescent="0.3">
      <c r="B14" s="56"/>
      <c r="C14" s="52" t="s">
        <v>172</v>
      </c>
      <c r="D14" s="53">
        <v>140100</v>
      </c>
      <c r="E14" s="54">
        <v>1.8</v>
      </c>
      <c r="F14" s="54">
        <v>4.91</v>
      </c>
      <c r="G14" s="54">
        <v>8.49</v>
      </c>
      <c r="H14" s="120"/>
      <c r="I14" s="94"/>
      <c r="J14" s="99"/>
    </row>
    <row r="15" spans="1:10" x14ac:dyDescent="0.3">
      <c r="B15" s="56"/>
      <c r="C15" s="52" t="s">
        <v>173</v>
      </c>
      <c r="D15" s="53">
        <v>150500</v>
      </c>
      <c r="E15" s="54">
        <v>1.8</v>
      </c>
      <c r="F15" s="54">
        <v>5.34</v>
      </c>
      <c r="G15" s="54">
        <v>9.5</v>
      </c>
      <c r="H15" s="120"/>
      <c r="I15" s="94"/>
      <c r="J15" s="99"/>
    </row>
    <row r="16" spans="1:10" x14ac:dyDescent="0.3">
      <c r="B16" s="56"/>
      <c r="C16" s="52" t="s">
        <v>174</v>
      </c>
      <c r="D16" s="53">
        <v>160100</v>
      </c>
      <c r="E16" s="54">
        <v>1.8</v>
      </c>
      <c r="F16" s="54">
        <v>5.76</v>
      </c>
      <c r="G16" s="54">
        <v>10.51</v>
      </c>
      <c r="H16" s="120"/>
      <c r="I16" s="94"/>
      <c r="J16" s="99"/>
    </row>
    <row r="17" spans="1:10" x14ac:dyDescent="0.3">
      <c r="B17" s="56"/>
      <c r="C17" s="52" t="s">
        <v>175</v>
      </c>
      <c r="D17" s="53">
        <v>167300</v>
      </c>
      <c r="E17" s="54">
        <v>1.8</v>
      </c>
      <c r="F17" s="54">
        <v>6.18</v>
      </c>
      <c r="G17" s="54">
        <v>11.52</v>
      </c>
      <c r="H17" s="120"/>
      <c r="I17" s="94"/>
      <c r="J17" s="99"/>
    </row>
    <row r="18" spans="1:10" x14ac:dyDescent="0.3">
      <c r="B18" s="56"/>
      <c r="C18" s="52" t="s">
        <v>176</v>
      </c>
      <c r="D18" s="53">
        <v>179100</v>
      </c>
      <c r="E18" s="54">
        <v>1.8</v>
      </c>
      <c r="F18" s="54">
        <v>6.6</v>
      </c>
      <c r="G18" s="54">
        <v>12.53</v>
      </c>
      <c r="H18" s="120"/>
      <c r="I18" s="94"/>
      <c r="J18" s="99"/>
    </row>
    <row r="19" spans="1:10" ht="15" thickBot="1" x14ac:dyDescent="0.35">
      <c r="B19" s="100"/>
      <c r="C19" s="101" t="s">
        <v>178</v>
      </c>
      <c r="D19" s="102">
        <v>193900</v>
      </c>
      <c r="E19" s="103">
        <v>1.8</v>
      </c>
      <c r="F19" s="103">
        <v>7.03</v>
      </c>
      <c r="G19" s="54">
        <v>13.54</v>
      </c>
      <c r="H19" s="121"/>
      <c r="I19" s="103"/>
      <c r="J19" s="105"/>
    </row>
    <row r="20" spans="1:10" x14ac:dyDescent="0.3">
      <c r="A20" s="6"/>
      <c r="B20" s="25"/>
      <c r="C20" s="26"/>
      <c r="D20" s="136"/>
      <c r="E20" s="122"/>
      <c r="F20" s="122"/>
      <c r="G20" s="122"/>
      <c r="H20" s="122"/>
      <c r="I20" s="122"/>
      <c r="J20" s="123"/>
    </row>
    <row r="21" spans="1:10" x14ac:dyDescent="0.3">
      <c r="B21" s="28"/>
      <c r="C21" s="29"/>
      <c r="D21" s="137"/>
      <c r="E21" s="31"/>
      <c r="F21" s="31"/>
      <c r="G21" s="31"/>
      <c r="H21" s="31"/>
      <c r="I21" s="31"/>
      <c r="J21" s="32"/>
    </row>
    <row r="22" spans="1:10" x14ac:dyDescent="0.3">
      <c r="B22" s="28"/>
      <c r="C22" s="29"/>
      <c r="D22" s="137"/>
      <c r="E22" s="31"/>
      <c r="F22" s="31"/>
      <c r="G22" s="31"/>
      <c r="H22" s="31"/>
      <c r="I22" s="31"/>
      <c r="J22" s="32"/>
    </row>
    <row r="23" spans="1:10" x14ac:dyDescent="0.3">
      <c r="B23" s="28"/>
      <c r="C23" s="29"/>
      <c r="D23" s="137"/>
      <c r="E23" s="31"/>
      <c r="F23" s="31"/>
      <c r="G23" s="31"/>
      <c r="H23" s="31"/>
      <c r="I23" s="31"/>
      <c r="J23" s="32"/>
    </row>
    <row r="24" spans="1:10" x14ac:dyDescent="0.3">
      <c r="B24" s="28"/>
      <c r="C24" s="29"/>
      <c r="D24" s="137"/>
      <c r="E24" s="31"/>
      <c r="F24" s="31"/>
      <c r="G24" s="31"/>
      <c r="H24" s="31"/>
      <c r="I24" s="31"/>
      <c r="J24" s="32"/>
    </row>
    <row r="25" spans="1:10" ht="15" thickBot="1" x14ac:dyDescent="0.35">
      <c r="B25" s="33"/>
      <c r="C25" s="34"/>
      <c r="D25" s="141"/>
      <c r="E25" s="36"/>
      <c r="F25" s="36"/>
      <c r="G25" s="36"/>
      <c r="H25" s="36"/>
      <c r="I25" s="36"/>
      <c r="J25" s="37"/>
    </row>
    <row r="26" spans="1:10" x14ac:dyDescent="0.3">
      <c r="B26" s="124"/>
      <c r="C26" s="125"/>
      <c r="D26" s="142"/>
      <c r="E26" s="126"/>
      <c r="F26" s="126"/>
      <c r="G26" s="126"/>
      <c r="H26" s="126"/>
      <c r="I26" s="126"/>
      <c r="J26" s="127"/>
    </row>
    <row r="27" spans="1:10" x14ac:dyDescent="0.3">
      <c r="B27" s="12"/>
      <c r="C27" s="13"/>
      <c r="D27" s="139"/>
      <c r="E27" s="15"/>
      <c r="F27" s="15"/>
      <c r="G27" s="15"/>
      <c r="H27" s="15"/>
      <c r="I27" s="15"/>
      <c r="J27" s="16"/>
    </row>
    <row r="28" spans="1:10" x14ac:dyDescent="0.3">
      <c r="B28" s="12"/>
      <c r="C28" s="13"/>
      <c r="D28" s="139"/>
      <c r="E28" s="15"/>
      <c r="F28" s="15"/>
      <c r="G28" s="15"/>
      <c r="H28" s="15"/>
      <c r="I28" s="15"/>
      <c r="J28" s="16"/>
    </row>
    <row r="29" spans="1:10" x14ac:dyDescent="0.3">
      <c r="B29" s="12"/>
      <c r="C29" s="13"/>
      <c r="D29" s="139"/>
      <c r="E29" s="15"/>
      <c r="F29" s="15"/>
      <c r="G29" s="15"/>
      <c r="H29" s="15"/>
      <c r="I29" s="15"/>
      <c r="J29" s="16"/>
    </row>
    <row r="30" spans="1:10" ht="15" thickBot="1" x14ac:dyDescent="0.35">
      <c r="B30" s="20"/>
      <c r="C30" s="21"/>
      <c r="D30" s="140"/>
      <c r="E30" s="23"/>
      <c r="F30" s="23"/>
      <c r="G30" s="23"/>
      <c r="H30" s="23"/>
      <c r="I30" s="23"/>
      <c r="J30" s="24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9BF8-2714-40CB-8EC3-8F4D85ABFFFF}">
  <dimension ref="B2:E59"/>
  <sheetViews>
    <sheetView workbookViewId="0">
      <selection activeCell="C73" sqref="C73"/>
    </sheetView>
  </sheetViews>
  <sheetFormatPr defaultRowHeight="14.4" x14ac:dyDescent="0.3"/>
  <cols>
    <col min="3" max="4" width="34.109375" bestFit="1" customWidth="1"/>
    <col min="5" max="5" width="9.77734375" bestFit="1" customWidth="1"/>
  </cols>
  <sheetData>
    <row r="2" spans="2:5" x14ac:dyDescent="0.3">
      <c r="C2" s="38"/>
    </row>
    <row r="3" spans="2:5" ht="15" thickBot="1" x14ac:dyDescent="0.35"/>
    <row r="4" spans="2:5" ht="15" thickBot="1" x14ac:dyDescent="0.35">
      <c r="B4" s="10" t="s">
        <v>16</v>
      </c>
      <c r="C4" s="11" t="s">
        <v>17</v>
      </c>
      <c r="D4" s="11" t="s">
        <v>18</v>
      </c>
      <c r="E4" s="40" t="s">
        <v>37</v>
      </c>
    </row>
    <row r="5" spans="2:5" x14ac:dyDescent="0.3">
      <c r="B5" s="25">
        <f>E5*24/4000</f>
        <v>0.18</v>
      </c>
      <c r="C5" s="26" t="s">
        <v>31</v>
      </c>
      <c r="D5" s="27">
        <v>4500</v>
      </c>
      <c r="E5" s="42">
        <v>30</v>
      </c>
    </row>
    <row r="6" spans="2:5" x14ac:dyDescent="0.3">
      <c r="B6" s="28">
        <f t="shared" ref="B6:B16" si="0">E6*24/4000</f>
        <v>0.36</v>
      </c>
      <c r="C6" s="29" t="s">
        <v>30</v>
      </c>
      <c r="D6" s="30">
        <v>5700</v>
      </c>
      <c r="E6" s="41">
        <v>60</v>
      </c>
    </row>
    <row r="7" spans="2:5" x14ac:dyDescent="0.3">
      <c r="B7" s="28">
        <f t="shared" si="0"/>
        <v>0.48</v>
      </c>
      <c r="C7" s="29" t="s">
        <v>29</v>
      </c>
      <c r="D7" s="30">
        <v>7200</v>
      </c>
      <c r="E7" s="41">
        <v>80</v>
      </c>
    </row>
    <row r="8" spans="2:5" x14ac:dyDescent="0.3">
      <c r="B8" s="28">
        <f t="shared" si="0"/>
        <v>0.72</v>
      </c>
      <c r="C8" s="29" t="s">
        <v>28</v>
      </c>
      <c r="D8" s="30">
        <v>8900</v>
      </c>
      <c r="E8" s="41">
        <v>120</v>
      </c>
    </row>
    <row r="9" spans="2:5" ht="15" thickBot="1" x14ac:dyDescent="0.35">
      <c r="B9" s="33">
        <f t="shared" si="0"/>
        <v>1.05</v>
      </c>
      <c r="C9" s="34" t="s">
        <v>27</v>
      </c>
      <c r="D9" s="35">
        <v>9800</v>
      </c>
      <c r="E9" s="43">
        <v>175</v>
      </c>
    </row>
    <row r="10" spans="2:5" x14ac:dyDescent="0.3">
      <c r="B10" s="17">
        <f>E10*24/4000</f>
        <v>6</v>
      </c>
      <c r="C10" s="18" t="s">
        <v>38</v>
      </c>
      <c r="D10" s="19">
        <v>19500</v>
      </c>
      <c r="E10" s="44">
        <v>1000</v>
      </c>
    </row>
    <row r="11" spans="2:5" x14ac:dyDescent="0.3">
      <c r="B11" s="12">
        <f t="shared" si="0"/>
        <v>12</v>
      </c>
      <c r="C11" s="13" t="s">
        <v>39</v>
      </c>
      <c r="D11" s="14">
        <v>33400</v>
      </c>
      <c r="E11" s="45">
        <v>2000</v>
      </c>
    </row>
    <row r="12" spans="2:5" x14ac:dyDescent="0.3">
      <c r="B12" s="12">
        <f t="shared" si="0"/>
        <v>18</v>
      </c>
      <c r="C12" s="13" t="s">
        <v>40</v>
      </c>
      <c r="D12" s="14">
        <v>46600</v>
      </c>
      <c r="E12" s="45">
        <v>3000</v>
      </c>
    </row>
    <row r="13" spans="2:5" x14ac:dyDescent="0.3">
      <c r="B13" s="12">
        <f t="shared" si="0"/>
        <v>24</v>
      </c>
      <c r="C13" s="13" t="s">
        <v>41</v>
      </c>
      <c r="D13" s="14">
        <v>57800</v>
      </c>
      <c r="E13" s="45">
        <v>4000</v>
      </c>
    </row>
    <row r="14" spans="2:5" x14ac:dyDescent="0.3">
      <c r="B14" s="12">
        <f t="shared" si="0"/>
        <v>30</v>
      </c>
      <c r="C14" s="13" t="s">
        <v>42</v>
      </c>
      <c r="D14" s="14">
        <v>70900</v>
      </c>
      <c r="E14" s="45">
        <v>5000</v>
      </c>
    </row>
    <row r="15" spans="2:5" x14ac:dyDescent="0.3">
      <c r="B15" s="12">
        <f t="shared" si="0"/>
        <v>36</v>
      </c>
      <c r="C15" s="13" t="s">
        <v>43</v>
      </c>
      <c r="D15" s="14">
        <v>83900</v>
      </c>
      <c r="E15" s="45">
        <v>6000</v>
      </c>
    </row>
    <row r="16" spans="2:5" x14ac:dyDescent="0.3">
      <c r="B16" s="12">
        <f t="shared" si="0"/>
        <v>42</v>
      </c>
      <c r="C16" s="13" t="s">
        <v>44</v>
      </c>
      <c r="D16" s="14">
        <v>95900</v>
      </c>
      <c r="E16" s="45">
        <v>7000</v>
      </c>
    </row>
    <row r="17" spans="2:5" ht="15" thickBot="1" x14ac:dyDescent="0.35">
      <c r="B17" s="20">
        <f t="shared" ref="B17:B22" si="1">E17*24/4000</f>
        <v>48</v>
      </c>
      <c r="C17" s="21" t="s">
        <v>45</v>
      </c>
      <c r="D17" s="22">
        <v>99000</v>
      </c>
      <c r="E17" s="46">
        <v>8000</v>
      </c>
    </row>
    <row r="18" spans="2:5" x14ac:dyDescent="0.3">
      <c r="B18" s="58">
        <f t="shared" si="1"/>
        <v>54</v>
      </c>
      <c r="C18" s="70" t="s">
        <v>101</v>
      </c>
      <c r="D18" s="6" t="str">
        <f>C18</f>
        <v>การุณาติดต่อเพิ่มสอบถามข้อมูลเพิ่มเติม</v>
      </c>
      <c r="E18" s="57">
        <v>9000</v>
      </c>
    </row>
    <row r="19" spans="2:5" x14ac:dyDescent="0.3">
      <c r="B19" s="58">
        <f t="shared" si="1"/>
        <v>60</v>
      </c>
      <c r="C19" s="70" t="s">
        <v>101</v>
      </c>
      <c r="D19" s="6" t="str">
        <f t="shared" ref="D19:D59" si="2">C19</f>
        <v>การุณาติดต่อเพิ่มสอบถามข้อมูลเพิ่มเติม</v>
      </c>
      <c r="E19" s="57">
        <v>10000</v>
      </c>
    </row>
    <row r="20" spans="2:5" x14ac:dyDescent="0.3">
      <c r="B20" s="58">
        <f t="shared" si="1"/>
        <v>66</v>
      </c>
      <c r="C20" s="70" t="s">
        <v>101</v>
      </c>
      <c r="D20" s="6" t="str">
        <f t="shared" si="2"/>
        <v>การุณาติดต่อเพิ่มสอบถามข้อมูลเพิ่มเติม</v>
      </c>
      <c r="E20" s="57">
        <v>11000</v>
      </c>
    </row>
    <row r="21" spans="2:5" x14ac:dyDescent="0.3">
      <c r="B21" s="58">
        <f t="shared" si="1"/>
        <v>72</v>
      </c>
      <c r="C21" s="70" t="s">
        <v>101</v>
      </c>
      <c r="D21" s="6" t="str">
        <f t="shared" si="2"/>
        <v>การุณาติดต่อเพิ่มสอบถามข้อมูลเพิ่มเติม</v>
      </c>
      <c r="E21" s="57">
        <v>12000</v>
      </c>
    </row>
    <row r="22" spans="2:5" x14ac:dyDescent="0.3">
      <c r="B22" s="58">
        <f t="shared" si="1"/>
        <v>78</v>
      </c>
      <c r="C22" s="70" t="s">
        <v>101</v>
      </c>
      <c r="D22" s="6" t="str">
        <f t="shared" si="2"/>
        <v>การุณาติดต่อเพิ่มสอบถามข้อมูลเพิ่มเติม</v>
      </c>
      <c r="E22" s="57">
        <v>13000</v>
      </c>
    </row>
    <row r="23" spans="2:5" x14ac:dyDescent="0.3">
      <c r="B23" s="58">
        <f t="shared" ref="B23:B30" si="3">E23*24/4000</f>
        <v>84</v>
      </c>
      <c r="C23" s="70" t="s">
        <v>101</v>
      </c>
      <c r="D23" s="6" t="str">
        <f t="shared" si="2"/>
        <v>การุณาติดต่อเพิ่มสอบถามข้อมูลเพิ่มเติม</v>
      </c>
      <c r="E23" s="57">
        <v>14000</v>
      </c>
    </row>
    <row r="24" spans="2:5" x14ac:dyDescent="0.3">
      <c r="B24" s="58">
        <f t="shared" si="3"/>
        <v>90</v>
      </c>
      <c r="C24" s="70" t="s">
        <v>101</v>
      </c>
      <c r="D24" s="6" t="str">
        <f t="shared" si="2"/>
        <v>การุณาติดต่อเพิ่มสอบถามข้อมูลเพิ่มเติม</v>
      </c>
      <c r="E24" s="57">
        <v>15000</v>
      </c>
    </row>
    <row r="25" spans="2:5" x14ac:dyDescent="0.3">
      <c r="B25" s="58">
        <f t="shared" si="3"/>
        <v>96</v>
      </c>
      <c r="C25" s="70" t="s">
        <v>101</v>
      </c>
      <c r="D25" s="6" t="str">
        <f t="shared" si="2"/>
        <v>การุณาติดต่อเพิ่มสอบถามข้อมูลเพิ่มเติม</v>
      </c>
      <c r="E25" s="57">
        <v>16000</v>
      </c>
    </row>
    <row r="26" spans="2:5" x14ac:dyDescent="0.3">
      <c r="B26" s="58">
        <f t="shared" si="3"/>
        <v>102</v>
      </c>
      <c r="C26" s="70" t="s">
        <v>101</v>
      </c>
      <c r="D26" s="6" t="str">
        <f t="shared" si="2"/>
        <v>การุณาติดต่อเพิ่มสอบถามข้อมูลเพิ่มเติม</v>
      </c>
      <c r="E26" s="57">
        <v>17000</v>
      </c>
    </row>
    <row r="27" spans="2:5" x14ac:dyDescent="0.3">
      <c r="B27" s="58">
        <f t="shared" si="3"/>
        <v>108</v>
      </c>
      <c r="C27" s="70" t="s">
        <v>101</v>
      </c>
      <c r="D27" s="6" t="str">
        <f t="shared" si="2"/>
        <v>การุณาติดต่อเพิ่มสอบถามข้อมูลเพิ่มเติม</v>
      </c>
      <c r="E27" s="57">
        <v>18000</v>
      </c>
    </row>
    <row r="28" spans="2:5" x14ac:dyDescent="0.3">
      <c r="B28" s="58">
        <f t="shared" si="3"/>
        <v>114</v>
      </c>
      <c r="C28" s="70" t="s">
        <v>101</v>
      </c>
      <c r="D28" s="6" t="str">
        <f t="shared" si="2"/>
        <v>การุณาติดต่อเพิ่มสอบถามข้อมูลเพิ่มเติม</v>
      </c>
      <c r="E28" s="57">
        <v>19000</v>
      </c>
    </row>
    <row r="29" spans="2:5" x14ac:dyDescent="0.3">
      <c r="B29" s="58">
        <f t="shared" si="3"/>
        <v>120</v>
      </c>
      <c r="C29" s="70" t="s">
        <v>101</v>
      </c>
      <c r="D29" s="6" t="str">
        <f t="shared" si="2"/>
        <v>การุณาติดต่อเพิ่มสอบถามข้อมูลเพิ่มเติม</v>
      </c>
      <c r="E29" s="57">
        <v>20000</v>
      </c>
    </row>
    <row r="30" spans="2:5" x14ac:dyDescent="0.3">
      <c r="B30" s="58">
        <f t="shared" si="3"/>
        <v>126</v>
      </c>
      <c r="C30" s="70" t="s">
        <v>101</v>
      </c>
      <c r="D30" s="6" t="str">
        <f t="shared" si="2"/>
        <v>การุณาติดต่อเพิ่มสอบถามข้อมูลเพิ่มเติม</v>
      </c>
      <c r="E30" s="57">
        <v>21000</v>
      </c>
    </row>
    <row r="31" spans="2:5" x14ac:dyDescent="0.3">
      <c r="B31" s="58">
        <f>E31*24/4000</f>
        <v>132</v>
      </c>
      <c r="C31" s="70" t="s">
        <v>101</v>
      </c>
      <c r="D31" s="6" t="str">
        <f t="shared" si="2"/>
        <v>การุณาติดต่อเพิ่มสอบถามข้อมูลเพิ่มเติม</v>
      </c>
      <c r="E31" s="57">
        <v>22000</v>
      </c>
    </row>
    <row r="32" spans="2:5" x14ac:dyDescent="0.3">
      <c r="B32" s="58">
        <f>E32*24/4000</f>
        <v>138</v>
      </c>
      <c r="C32" s="70" t="s">
        <v>101</v>
      </c>
      <c r="D32" s="6" t="str">
        <f t="shared" si="2"/>
        <v>การุณาติดต่อเพิ่มสอบถามข้อมูลเพิ่มเติม</v>
      </c>
      <c r="E32" s="57">
        <v>23000</v>
      </c>
    </row>
    <row r="33" spans="2:5" x14ac:dyDescent="0.3">
      <c r="B33" s="58">
        <f>E33*24/4000</f>
        <v>144</v>
      </c>
      <c r="C33" s="70" t="s">
        <v>101</v>
      </c>
      <c r="D33" s="6" t="str">
        <f t="shared" si="2"/>
        <v>การุณาติดต่อเพิ่มสอบถามข้อมูลเพิ่มเติม</v>
      </c>
      <c r="E33" s="57">
        <v>24000</v>
      </c>
    </row>
    <row r="34" spans="2:5" x14ac:dyDescent="0.3">
      <c r="B34" s="58">
        <f t="shared" ref="B34:B38" si="4">E34*24/4000</f>
        <v>150</v>
      </c>
      <c r="C34" s="70" t="s">
        <v>101</v>
      </c>
      <c r="D34" s="6" t="str">
        <f t="shared" si="2"/>
        <v>การุณาติดต่อเพิ่มสอบถามข้อมูลเพิ่มเติม</v>
      </c>
      <c r="E34" s="57">
        <v>25000</v>
      </c>
    </row>
    <row r="35" spans="2:5" x14ac:dyDescent="0.3">
      <c r="B35" s="58">
        <f t="shared" si="4"/>
        <v>156</v>
      </c>
      <c r="C35" s="70" t="s">
        <v>101</v>
      </c>
      <c r="D35" s="6" t="str">
        <f t="shared" si="2"/>
        <v>การุณาติดต่อเพิ่มสอบถามข้อมูลเพิ่มเติม</v>
      </c>
      <c r="E35" s="57">
        <v>26000</v>
      </c>
    </row>
    <row r="36" spans="2:5" x14ac:dyDescent="0.3">
      <c r="B36" s="58">
        <f t="shared" si="4"/>
        <v>162</v>
      </c>
      <c r="C36" s="70" t="s">
        <v>101</v>
      </c>
      <c r="D36" s="6" t="str">
        <f t="shared" si="2"/>
        <v>การุณาติดต่อเพิ่มสอบถามข้อมูลเพิ่มเติม</v>
      </c>
      <c r="E36" s="57">
        <v>27000</v>
      </c>
    </row>
    <row r="37" spans="2:5" x14ac:dyDescent="0.3">
      <c r="B37" s="58">
        <f t="shared" si="4"/>
        <v>168</v>
      </c>
      <c r="C37" s="70" t="s">
        <v>101</v>
      </c>
      <c r="D37" s="6" t="str">
        <f t="shared" si="2"/>
        <v>การุณาติดต่อเพิ่มสอบถามข้อมูลเพิ่มเติม</v>
      </c>
      <c r="E37" s="57">
        <v>28000</v>
      </c>
    </row>
    <row r="38" spans="2:5" x14ac:dyDescent="0.3">
      <c r="B38" s="58">
        <f t="shared" si="4"/>
        <v>174</v>
      </c>
      <c r="C38" s="70" t="s">
        <v>101</v>
      </c>
      <c r="D38" s="6" t="str">
        <f t="shared" si="2"/>
        <v>การุณาติดต่อเพิ่มสอบถามข้อมูลเพิ่มเติม</v>
      </c>
      <c r="E38" s="57">
        <v>29000</v>
      </c>
    </row>
    <row r="39" spans="2:5" x14ac:dyDescent="0.3">
      <c r="B39" s="58">
        <f t="shared" ref="B39:B45" si="5">E39*24/4000</f>
        <v>180</v>
      </c>
      <c r="C39" s="70" t="s">
        <v>101</v>
      </c>
      <c r="D39" s="6" t="str">
        <f t="shared" si="2"/>
        <v>การุณาติดต่อเพิ่มสอบถามข้อมูลเพิ่มเติม</v>
      </c>
      <c r="E39" s="57">
        <v>30000</v>
      </c>
    </row>
    <row r="40" spans="2:5" x14ac:dyDescent="0.3">
      <c r="B40" s="58">
        <f t="shared" si="5"/>
        <v>186</v>
      </c>
      <c r="C40" s="70" t="s">
        <v>101</v>
      </c>
      <c r="D40" s="6" t="str">
        <f t="shared" si="2"/>
        <v>การุณาติดต่อเพิ่มสอบถามข้อมูลเพิ่มเติม</v>
      </c>
      <c r="E40" s="57">
        <v>31000</v>
      </c>
    </row>
    <row r="41" spans="2:5" x14ac:dyDescent="0.3">
      <c r="B41" s="58">
        <f t="shared" si="5"/>
        <v>192</v>
      </c>
      <c r="C41" s="70" t="s">
        <v>101</v>
      </c>
      <c r="D41" s="6" t="str">
        <f t="shared" si="2"/>
        <v>การุณาติดต่อเพิ่มสอบถามข้อมูลเพิ่มเติม</v>
      </c>
      <c r="E41" s="57">
        <v>32000</v>
      </c>
    </row>
    <row r="42" spans="2:5" x14ac:dyDescent="0.3">
      <c r="B42" s="58">
        <f t="shared" si="5"/>
        <v>198</v>
      </c>
      <c r="C42" s="70" t="s">
        <v>101</v>
      </c>
      <c r="D42" s="6" t="str">
        <f t="shared" si="2"/>
        <v>การุณาติดต่อเพิ่มสอบถามข้อมูลเพิ่มเติม</v>
      </c>
      <c r="E42" s="57">
        <v>33000</v>
      </c>
    </row>
    <row r="43" spans="2:5" x14ac:dyDescent="0.3">
      <c r="B43" s="58">
        <f t="shared" si="5"/>
        <v>204</v>
      </c>
      <c r="C43" s="70" t="s">
        <v>101</v>
      </c>
      <c r="D43" s="6" t="str">
        <f t="shared" si="2"/>
        <v>การุณาติดต่อเพิ่มสอบถามข้อมูลเพิ่มเติม</v>
      </c>
      <c r="E43" s="57">
        <v>34000</v>
      </c>
    </row>
    <row r="44" spans="2:5" x14ac:dyDescent="0.3">
      <c r="B44" s="58">
        <f t="shared" si="5"/>
        <v>210</v>
      </c>
      <c r="C44" s="70" t="s">
        <v>101</v>
      </c>
      <c r="D44" s="6" t="str">
        <f t="shared" si="2"/>
        <v>การุณาติดต่อเพิ่มสอบถามข้อมูลเพิ่มเติม</v>
      </c>
      <c r="E44" s="57">
        <v>35000</v>
      </c>
    </row>
    <row r="45" spans="2:5" x14ac:dyDescent="0.3">
      <c r="B45" s="58">
        <f t="shared" si="5"/>
        <v>216</v>
      </c>
      <c r="C45" s="70" t="s">
        <v>101</v>
      </c>
      <c r="D45" s="6" t="str">
        <f t="shared" si="2"/>
        <v>การุณาติดต่อเพิ่มสอบถามข้อมูลเพิ่มเติม</v>
      </c>
      <c r="E45" s="57">
        <v>36000</v>
      </c>
    </row>
    <row r="46" spans="2:5" x14ac:dyDescent="0.3">
      <c r="B46" s="58">
        <f t="shared" ref="B46:B52" si="6">E46*24/4000</f>
        <v>222</v>
      </c>
      <c r="C46" s="70" t="s">
        <v>101</v>
      </c>
      <c r="D46" s="6" t="str">
        <f t="shared" si="2"/>
        <v>การุณาติดต่อเพิ่มสอบถามข้อมูลเพิ่มเติม</v>
      </c>
      <c r="E46" s="57">
        <v>37000</v>
      </c>
    </row>
    <row r="47" spans="2:5" x14ac:dyDescent="0.3">
      <c r="B47" s="58">
        <f t="shared" si="6"/>
        <v>228</v>
      </c>
      <c r="C47" s="70" t="s">
        <v>101</v>
      </c>
      <c r="D47" s="6" t="str">
        <f t="shared" si="2"/>
        <v>การุณาติดต่อเพิ่มสอบถามข้อมูลเพิ่มเติม</v>
      </c>
      <c r="E47" s="57">
        <v>38000</v>
      </c>
    </row>
    <row r="48" spans="2:5" x14ac:dyDescent="0.3">
      <c r="B48" s="58">
        <f t="shared" si="6"/>
        <v>234</v>
      </c>
      <c r="C48" s="70" t="s">
        <v>101</v>
      </c>
      <c r="D48" s="6" t="str">
        <f t="shared" si="2"/>
        <v>การุณาติดต่อเพิ่มสอบถามข้อมูลเพิ่มเติม</v>
      </c>
      <c r="E48" s="57">
        <v>39000</v>
      </c>
    </row>
    <row r="49" spans="2:5" x14ac:dyDescent="0.3">
      <c r="B49" s="58">
        <f t="shared" si="6"/>
        <v>240</v>
      </c>
      <c r="C49" s="70" t="s">
        <v>101</v>
      </c>
      <c r="D49" s="6" t="str">
        <f t="shared" si="2"/>
        <v>การุณาติดต่อเพิ่มสอบถามข้อมูลเพิ่มเติม</v>
      </c>
      <c r="E49" s="57">
        <v>40000</v>
      </c>
    </row>
    <row r="50" spans="2:5" x14ac:dyDescent="0.3">
      <c r="B50" s="58">
        <f t="shared" si="6"/>
        <v>246</v>
      </c>
      <c r="C50" s="70" t="s">
        <v>101</v>
      </c>
      <c r="D50" s="6" t="str">
        <f t="shared" si="2"/>
        <v>การุณาติดต่อเพิ่มสอบถามข้อมูลเพิ่มเติม</v>
      </c>
      <c r="E50" s="57">
        <v>41000</v>
      </c>
    </row>
    <row r="51" spans="2:5" x14ac:dyDescent="0.3">
      <c r="B51" s="58">
        <f t="shared" si="6"/>
        <v>252</v>
      </c>
      <c r="C51" s="70" t="s">
        <v>101</v>
      </c>
      <c r="D51" s="6" t="str">
        <f t="shared" si="2"/>
        <v>การุณาติดต่อเพิ่มสอบถามข้อมูลเพิ่มเติม</v>
      </c>
      <c r="E51" s="57">
        <v>42000</v>
      </c>
    </row>
    <row r="52" spans="2:5" x14ac:dyDescent="0.3">
      <c r="B52" s="58">
        <f t="shared" si="6"/>
        <v>258</v>
      </c>
      <c r="C52" s="70" t="s">
        <v>101</v>
      </c>
      <c r="D52" s="6" t="str">
        <f t="shared" si="2"/>
        <v>การุณาติดต่อเพิ่มสอบถามข้อมูลเพิ่มเติม</v>
      </c>
      <c r="E52" s="57">
        <v>43000</v>
      </c>
    </row>
    <row r="53" spans="2:5" x14ac:dyDescent="0.3">
      <c r="B53" s="58">
        <f t="shared" ref="B53:B56" si="7">E53*24/4000</f>
        <v>264</v>
      </c>
      <c r="C53" s="70" t="s">
        <v>101</v>
      </c>
      <c r="D53" s="6" t="str">
        <f t="shared" si="2"/>
        <v>การุณาติดต่อเพิ่มสอบถามข้อมูลเพิ่มเติม</v>
      </c>
      <c r="E53" s="57">
        <v>44000</v>
      </c>
    </row>
    <row r="54" spans="2:5" x14ac:dyDescent="0.3">
      <c r="B54" s="58">
        <f t="shared" si="7"/>
        <v>270</v>
      </c>
      <c r="C54" s="70" t="s">
        <v>101</v>
      </c>
      <c r="D54" s="6" t="str">
        <f t="shared" si="2"/>
        <v>การุณาติดต่อเพิ่มสอบถามข้อมูลเพิ่มเติม</v>
      </c>
      <c r="E54" s="57">
        <v>45000</v>
      </c>
    </row>
    <row r="55" spans="2:5" x14ac:dyDescent="0.3">
      <c r="B55" s="58">
        <f t="shared" si="7"/>
        <v>276</v>
      </c>
      <c r="C55" s="70" t="s">
        <v>101</v>
      </c>
      <c r="D55" s="6" t="str">
        <f t="shared" si="2"/>
        <v>การุณาติดต่อเพิ่มสอบถามข้อมูลเพิ่มเติม</v>
      </c>
      <c r="E55" s="57">
        <v>46000</v>
      </c>
    </row>
    <row r="56" spans="2:5" x14ac:dyDescent="0.3">
      <c r="B56" s="58">
        <f t="shared" si="7"/>
        <v>282</v>
      </c>
      <c r="C56" s="70" t="s">
        <v>101</v>
      </c>
      <c r="D56" s="6" t="str">
        <f t="shared" si="2"/>
        <v>การุณาติดต่อเพิ่มสอบถามข้อมูลเพิ่มเติม</v>
      </c>
      <c r="E56" s="57">
        <v>47000</v>
      </c>
    </row>
    <row r="57" spans="2:5" x14ac:dyDescent="0.3">
      <c r="B57" s="58">
        <f t="shared" ref="B57:B59" si="8">E57*24/4000</f>
        <v>288</v>
      </c>
      <c r="C57" s="70" t="s">
        <v>101</v>
      </c>
      <c r="D57" s="6" t="str">
        <f t="shared" si="2"/>
        <v>การุณาติดต่อเพิ่มสอบถามข้อมูลเพิ่มเติม</v>
      </c>
      <c r="E57" s="57">
        <v>48000</v>
      </c>
    </row>
    <row r="58" spans="2:5" x14ac:dyDescent="0.3">
      <c r="B58" s="58">
        <f t="shared" si="8"/>
        <v>294</v>
      </c>
      <c r="C58" s="70" t="s">
        <v>101</v>
      </c>
      <c r="D58" s="6" t="str">
        <f t="shared" si="2"/>
        <v>การุณาติดต่อเพิ่มสอบถามข้อมูลเพิ่มเติม</v>
      </c>
      <c r="E58" s="57">
        <v>49000</v>
      </c>
    </row>
    <row r="59" spans="2:5" x14ac:dyDescent="0.3">
      <c r="B59" s="58">
        <f t="shared" si="8"/>
        <v>300</v>
      </c>
      <c r="C59" s="70" t="s">
        <v>101</v>
      </c>
      <c r="D59" s="6" t="str">
        <f t="shared" si="2"/>
        <v>การุณาติดต่อเพิ่มสอบถามข้อมูลเพิ่มเติม</v>
      </c>
      <c r="E59" s="57">
        <v>50000</v>
      </c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FRONT</vt:lpstr>
      <vt:lpstr>CAL</vt:lpstr>
      <vt:lpstr>WASTE_DATA</vt:lpstr>
      <vt:lpstr>Product_AT</vt:lpstr>
      <vt:lpstr>Product_AN</vt:lpstr>
      <vt:lpstr>Product_SSS</vt:lpstr>
      <vt:lpstr>Product_SSFA</vt:lpstr>
      <vt:lpstr>Product_SSF</vt:lpstr>
      <vt:lpstr>Product_GT</vt:lpstr>
      <vt:lpstr>Product_AP-AB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Proud Asia</dc:creator>
  <cp:lastModifiedBy>Proud Asia</cp:lastModifiedBy>
  <dcterms:created xsi:type="dcterms:W3CDTF">2020-05-04T03:13:14Z</dcterms:created>
  <dcterms:modified xsi:type="dcterms:W3CDTF">2020-08-20T15:07:56Z</dcterms:modified>
</cp:coreProperties>
</file>